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Carlos Rodriguez\Desktop\IMELDA\Nomina\Semanal\"/>
    </mc:Choice>
  </mc:AlternateContent>
  <xr:revisionPtr revIDLastSave="0" documentId="13_ncr:1_{B3A19159-01D3-49B3-90DA-D210E3A05AF0}" xr6:coauthVersionLast="47" xr6:coauthVersionMax="47" xr10:uidLastSave="{00000000-0000-0000-0000-000000000000}"/>
  <bookViews>
    <workbookView xWindow="-60" yWindow="-60" windowWidth="28920" windowHeight="15720" xr2:uid="{AD1AACE9-02C7-4DCE-A1D5-8AFF523A1013}"/>
  </bookViews>
  <sheets>
    <sheet name="Datos" sheetId="11" r:id="rId1"/>
    <sheet name="Hoja3" sheetId="14" r:id="rId2"/>
    <sheet name="Hoja1" sheetId="12" r:id="rId3"/>
    <sheet name="Hoja2" sheetId="13" r:id="rId4"/>
  </sheets>
  <definedNames>
    <definedName name="ANTIGUEDAD">#REF!</definedName>
    <definedName name="CREDITO">#REF!</definedName>
    <definedName name="SUBSIDIO">#REF!</definedName>
    <definedName name="TABLA">#REF!</definedName>
    <definedName name="TARIFA">#REF!</definedName>
  </definedNames>
  <calcPr calcId="191029"/>
</workbook>
</file>

<file path=xl/calcChain.xml><?xml version="1.0" encoding="utf-8"?>
<calcChain xmlns="http://schemas.openxmlformats.org/spreadsheetml/2006/main">
  <c r="F97" i="11" l="1"/>
  <c r="F96" i="11"/>
  <c r="E92" i="11"/>
  <c r="E91" i="11"/>
  <c r="B40" i="14" l="1"/>
  <c r="L3" i="14"/>
  <c r="L5" i="14"/>
  <c r="L6" i="14"/>
  <c r="L7" i="14"/>
  <c r="L8" i="14"/>
  <c r="L9" i="14"/>
  <c r="L10" i="14"/>
  <c r="L11" i="14"/>
  <c r="L12" i="14"/>
  <c r="L13" i="14"/>
  <c r="L14" i="14"/>
  <c r="L16" i="14"/>
  <c r="L17" i="14"/>
  <c r="L18" i="14"/>
  <c r="L19" i="14"/>
  <c r="L21" i="14"/>
  <c r="M21" i="14" s="1"/>
  <c r="L22" i="14"/>
  <c r="M22" i="14" s="1"/>
  <c r="L23" i="14"/>
  <c r="M23" i="14" s="1"/>
  <c r="L24" i="14"/>
  <c r="M24" i="14" s="1"/>
  <c r="L25" i="14"/>
  <c r="M25" i="14" s="1"/>
  <c r="L26" i="14"/>
  <c r="M26" i="14" s="1"/>
  <c r="L27" i="14"/>
  <c r="M27" i="14" s="1"/>
  <c r="L28" i="14"/>
  <c r="M28" i="14" s="1"/>
  <c r="L29" i="14"/>
  <c r="M29" i="14" s="1"/>
  <c r="L30" i="14"/>
  <c r="M30" i="14" s="1"/>
  <c r="L31" i="14"/>
  <c r="M31" i="14" s="1"/>
  <c r="L32" i="14"/>
  <c r="M32" i="14" s="1"/>
  <c r="L33" i="14"/>
  <c r="M33" i="14" s="1"/>
  <c r="L34" i="14"/>
  <c r="M34" i="14" s="1"/>
  <c r="L35" i="14"/>
  <c r="M35" i="14" s="1"/>
  <c r="L36" i="14"/>
  <c r="M36" i="14" s="1"/>
  <c r="L37" i="14"/>
  <c r="M37" i="14" s="1"/>
  <c r="L38" i="14"/>
  <c r="M38" i="14" s="1"/>
  <c r="L39" i="14"/>
  <c r="M39" i="14" s="1"/>
  <c r="L40" i="14"/>
  <c r="L2" i="14"/>
  <c r="G91" i="11"/>
  <c r="G92" i="11" s="1"/>
  <c r="F92" i="11"/>
  <c r="R29" i="11"/>
  <c r="G39" i="11"/>
  <c r="H39" i="11" s="1"/>
  <c r="L39" i="11" s="1"/>
  <c r="G83" i="11" s="1"/>
  <c r="E83" i="11" s="1"/>
  <c r="G32" i="11"/>
  <c r="H32" i="11" s="1"/>
  <c r="L32" i="11" s="1"/>
  <c r="G76" i="11" s="1"/>
  <c r="E76" i="11" s="1"/>
  <c r="G38" i="11"/>
  <c r="G44" i="11"/>
  <c r="H44" i="11" s="1"/>
  <c r="L44" i="11" s="1"/>
  <c r="G88" i="11" s="1"/>
  <c r="E88" i="11" s="1"/>
  <c r="G41" i="11"/>
  <c r="H41" i="11" s="1"/>
  <c r="L41" i="11" s="1"/>
  <c r="G85" i="11" s="1"/>
  <c r="E85" i="11" s="1"/>
  <c r="G40" i="11"/>
  <c r="H40" i="11" s="1"/>
  <c r="L40" i="11" s="1"/>
  <c r="G84" i="11" s="1"/>
  <c r="E84" i="11" s="1"/>
  <c r="G37" i="11"/>
  <c r="G36" i="11"/>
  <c r="G30" i="11"/>
  <c r="L30" i="11" s="1"/>
  <c r="G74" i="11" s="1"/>
  <c r="E74" i="11" s="1"/>
  <c r="G43" i="11"/>
  <c r="H43" i="11" s="1"/>
  <c r="L43" i="11" s="1"/>
  <c r="G87" i="11" s="1"/>
  <c r="E87" i="11" s="1"/>
  <c r="G42" i="11"/>
  <c r="H42" i="11" s="1"/>
  <c r="L42" i="11" s="1"/>
  <c r="G86" i="11" s="1"/>
  <c r="E86" i="11" s="1"/>
  <c r="G35" i="11"/>
  <c r="H35" i="11" s="1"/>
  <c r="L35" i="11" s="1"/>
  <c r="G79" i="11" s="1"/>
  <c r="E79" i="11" s="1"/>
  <c r="G34" i="11"/>
  <c r="H34" i="11" s="1"/>
  <c r="L34" i="11" s="1"/>
  <c r="G78" i="11" s="1"/>
  <c r="E78" i="11" s="1"/>
  <c r="G33" i="11"/>
  <c r="H33" i="11" s="1"/>
  <c r="L33" i="11" s="1"/>
  <c r="G77" i="11" s="1"/>
  <c r="E77" i="11" s="1"/>
  <c r="G31" i="11"/>
  <c r="L31" i="11" s="1"/>
  <c r="G75" i="11" s="1"/>
  <c r="E75" i="11" s="1"/>
  <c r="G46" i="11"/>
  <c r="H46" i="11" s="1"/>
  <c r="L46" i="11" s="1"/>
  <c r="G90" i="11" s="1"/>
  <c r="E90" i="11" s="1"/>
  <c r="G45" i="11"/>
  <c r="H45" i="11" s="1"/>
  <c r="L45" i="11" s="1"/>
  <c r="G89" i="11" s="1"/>
  <c r="E89" i="11" s="1"/>
  <c r="K44" i="11"/>
  <c r="K45" i="11"/>
  <c r="K46" i="11"/>
  <c r="H28" i="11"/>
  <c r="L28" i="11" s="1"/>
  <c r="G72" i="11" s="1"/>
  <c r="E72" i="11" s="1"/>
  <c r="G21" i="11"/>
  <c r="E65" i="11" s="1"/>
  <c r="E69" i="11" s="1"/>
  <c r="D89" i="11"/>
  <c r="D90" i="11"/>
  <c r="B46" i="11"/>
  <c r="B45" i="11"/>
  <c r="G24" i="11"/>
  <c r="G23" i="11"/>
  <c r="F69" i="11"/>
  <c r="D73" i="11"/>
  <c r="D74" i="11"/>
  <c r="F61" i="11"/>
  <c r="F64" i="11" s="1"/>
  <c r="G19" i="11"/>
  <c r="H19" i="11" s="1"/>
  <c r="L19" i="11" s="1"/>
  <c r="G18" i="11"/>
  <c r="H18" i="11"/>
  <c r="L18" i="11"/>
  <c r="G62" i="11" s="1"/>
  <c r="G17" i="11"/>
  <c r="H17" i="11" s="1"/>
  <c r="L17" i="11" s="1"/>
  <c r="G16" i="11"/>
  <c r="H16" i="11" s="1"/>
  <c r="L16" i="11" s="1"/>
  <c r="G15" i="11"/>
  <c r="H15" i="11" s="1"/>
  <c r="L15" i="11" s="1"/>
  <c r="G14" i="11"/>
  <c r="G13" i="11"/>
  <c r="H13" i="11" s="1"/>
  <c r="L13" i="11" s="1"/>
  <c r="G12" i="11"/>
  <c r="G11" i="11"/>
  <c r="G10" i="11"/>
  <c r="D62" i="11"/>
  <c r="D63" i="11"/>
  <c r="B18" i="11"/>
  <c r="B19" i="11"/>
  <c r="H11" i="11"/>
  <c r="H12" i="11"/>
  <c r="L12" i="11" s="1"/>
  <c r="H14" i="11"/>
  <c r="H29" i="11"/>
  <c r="H24" i="11"/>
  <c r="L24" i="11" s="1"/>
  <c r="G68" i="11" s="1"/>
  <c r="E68" i="11" s="1"/>
  <c r="F91" i="11"/>
  <c r="D88" i="11"/>
  <c r="B44" i="11"/>
  <c r="K43" i="11"/>
  <c r="B43" i="11"/>
  <c r="B22" i="11"/>
  <c r="K28" i="11"/>
  <c r="D72" i="11"/>
  <c r="B28" i="11"/>
  <c r="D68" i="11"/>
  <c r="K24" i="11"/>
  <c r="B24" i="11"/>
  <c r="J17" i="11"/>
  <c r="K17" i="11" s="1"/>
  <c r="J16" i="11"/>
  <c r="J15" i="11"/>
  <c r="K15" i="11"/>
  <c r="J14" i="11"/>
  <c r="K14" i="11"/>
  <c r="J13" i="11"/>
  <c r="K13" i="11"/>
  <c r="J12" i="11"/>
  <c r="K12" i="11"/>
  <c r="J11" i="11"/>
  <c r="K11" i="11"/>
  <c r="J10" i="11"/>
  <c r="K10" i="11" s="1"/>
  <c r="B17" i="11"/>
  <c r="K16" i="11"/>
  <c r="L7" i="11"/>
  <c r="E51" i="11" s="1"/>
  <c r="E53" i="11" s="1"/>
  <c r="E67" i="11"/>
  <c r="K22" i="11"/>
  <c r="L22" i="11"/>
  <c r="G66" i="11" s="1"/>
  <c r="H10" i="11"/>
  <c r="K40" i="11"/>
  <c r="K41" i="11"/>
  <c r="K42" i="11"/>
  <c r="K32" i="11"/>
  <c r="K33" i="11"/>
  <c r="K34" i="11"/>
  <c r="K35" i="11"/>
  <c r="D71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70" i="11"/>
  <c r="B40" i="11"/>
  <c r="B41" i="11"/>
  <c r="B42" i="11"/>
  <c r="B31" i="11"/>
  <c r="B32" i="11"/>
  <c r="B33" i="11"/>
  <c r="B34" i="11"/>
  <c r="B35" i="11"/>
  <c r="E66" i="11"/>
  <c r="D65" i="11"/>
  <c r="D66" i="11"/>
  <c r="B23" i="11"/>
  <c r="B29" i="11"/>
  <c r="B21" i="11"/>
  <c r="K39" i="11"/>
  <c r="K21" i="11"/>
  <c r="L21" i="11"/>
  <c r="G65" i="11" s="1"/>
  <c r="B39" i="11"/>
  <c r="B38" i="11"/>
  <c r="K38" i="11"/>
  <c r="L38" i="11"/>
  <c r="G82" i="11"/>
  <c r="E82" i="11"/>
  <c r="K37" i="11"/>
  <c r="L37" i="11"/>
  <c r="G81" i="11" s="1"/>
  <c r="E81" i="11" s="1"/>
  <c r="B37" i="11"/>
  <c r="K31" i="11"/>
  <c r="D61" i="11"/>
  <c r="K36" i="11"/>
  <c r="L36" i="11" s="1"/>
  <c r="G80" i="11" s="1"/>
  <c r="E80" i="11" s="1"/>
  <c r="B36" i="11"/>
  <c r="K27" i="11"/>
  <c r="L27" i="11" s="1"/>
  <c r="G71" i="11" s="1"/>
  <c r="E71" i="11" s="1"/>
  <c r="B27" i="11"/>
  <c r="F53" i="11"/>
  <c r="D60" i="11"/>
  <c r="K26" i="11"/>
  <c r="L26" i="11" s="1"/>
  <c r="B26" i="11"/>
  <c r="K30" i="11"/>
  <c r="B30" i="11"/>
  <c r="D59" i="11"/>
  <c r="B15" i="11"/>
  <c r="K23" i="11"/>
  <c r="L23" i="11"/>
  <c r="G67" i="11" s="1"/>
  <c r="K8" i="11"/>
  <c r="D51" i="11"/>
  <c r="D52" i="11"/>
  <c r="H8" i="11"/>
  <c r="J7" i="11"/>
  <c r="K7" i="11" s="1"/>
  <c r="K29" i="11"/>
  <c r="L29" i="11" s="1"/>
  <c r="G73" i="11" s="1"/>
  <c r="E73" i="11" s="1"/>
  <c r="D67" i="11"/>
  <c r="D58" i="11"/>
  <c r="B14" i="11"/>
  <c r="D57" i="11"/>
  <c r="B13" i="11"/>
  <c r="D56" i="11"/>
  <c r="B12" i="11"/>
  <c r="D55" i="11"/>
  <c r="B11" i="11"/>
  <c r="D54" i="11"/>
  <c r="B10" i="11"/>
  <c r="L8" i="11"/>
  <c r="E52" i="11" s="1"/>
  <c r="L9" i="11"/>
  <c r="G51" i="11"/>
  <c r="E62" i="11"/>
  <c r="L14" i="11"/>
  <c r="E58" i="11" s="1"/>
  <c r="L11" i="11"/>
  <c r="G55" i="11" s="1"/>
  <c r="M40" i="14" l="1"/>
  <c r="E59" i="11"/>
  <c r="G59" i="11"/>
  <c r="L10" i="11"/>
  <c r="E61" i="11"/>
  <c r="G61" i="11"/>
  <c r="G69" i="11"/>
  <c r="G70" i="11"/>
  <c r="L47" i="11"/>
  <c r="G60" i="11"/>
  <c r="E60" i="11"/>
  <c r="E56" i="11"/>
  <c r="G56" i="11"/>
  <c r="G57" i="11"/>
  <c r="E57" i="11"/>
  <c r="E63" i="11"/>
  <c r="G63" i="11"/>
  <c r="E55" i="11"/>
  <c r="L25" i="11"/>
  <c r="G58" i="11"/>
  <c r="G52" i="11"/>
  <c r="G53" i="11" s="1"/>
  <c r="E54" i="11" l="1"/>
  <c r="E64" i="11" s="1"/>
  <c r="L20" i="11"/>
  <c r="L48" i="11" s="1"/>
  <c r="G54" i="11"/>
  <c r="G64" i="11" s="1"/>
  <c r="E70" i="11"/>
  <c r="M8" i="14" l="1"/>
  <c r="M19" i="14"/>
  <c r="M5" i="14"/>
  <c r="M6" i="14"/>
  <c r="M17" i="14"/>
  <c r="M3" i="14"/>
  <c r="M10" i="14"/>
  <c r="M11" i="14"/>
  <c r="M9" i="14"/>
  <c r="M18" i="14"/>
  <c r="M13" i="14"/>
  <c r="M12" i="14"/>
  <c r="M7" i="14"/>
  <c r="M14" i="14"/>
  <c r="M16" i="14"/>
  <c r="M2" i="14"/>
</calcChain>
</file>

<file path=xl/sharedStrings.xml><?xml version="1.0" encoding="utf-8"?>
<sst xmlns="http://schemas.openxmlformats.org/spreadsheetml/2006/main" count="173" uniqueCount="89">
  <si>
    <t>OCUPACION</t>
  </si>
  <si>
    <t>Nombre</t>
  </si>
  <si>
    <t>No. de Afiliación</t>
  </si>
  <si>
    <t>IMSS</t>
  </si>
  <si>
    <t>TOTAL A PAGAR</t>
  </si>
  <si>
    <t>CONSTRUCTORA INVERMEX, S.A. DE C.V.</t>
  </si>
  <si>
    <t>TOTAL INGRESOS</t>
  </si>
  <si>
    <t>TOTAL DEDUCCIONES</t>
  </si>
  <si>
    <t>FACTURA</t>
  </si>
  <si>
    <t>INVERMEX</t>
  </si>
  <si>
    <t>TOTAL NOMINAS</t>
  </si>
  <si>
    <t>EXTRAS</t>
  </si>
  <si>
    <t>SE PAGARA EN FINIQUITO</t>
  </si>
  <si>
    <t>SUELDO SEMANAL</t>
  </si>
  <si>
    <t>CHOFER</t>
  </si>
  <si>
    <t>AYUDANTE</t>
  </si>
  <si>
    <t>VACACIONES PAGADAS</t>
  </si>
  <si>
    <t>ADEUDO DE EFVO</t>
  </si>
  <si>
    <t>FECHA INGRESO</t>
  </si>
  <si>
    <t>ROBLEDO LOPEZ HOMERO</t>
  </si>
  <si>
    <t>YEPEZ GARCIA SANTIAGO</t>
  </si>
  <si>
    <t>MATA POSADA JOSE VENTURA</t>
  </si>
  <si>
    <t>AYTE</t>
  </si>
  <si>
    <t>vacac</t>
  </si>
  <si>
    <t>prima vac</t>
  </si>
  <si>
    <t>DESCUENTOS /  FONACOT MENSUAL</t>
  </si>
  <si>
    <t>MUÑIZ QUIROZ FRANCISCO JAVIER</t>
  </si>
  <si>
    <t>SUPERVISOR</t>
  </si>
  <si>
    <t>MENDOZA MARTINEZ LUIS NABOR</t>
  </si>
  <si>
    <t>AY GRAL</t>
  </si>
  <si>
    <t>ADEUDO DE INFONAVIT</t>
  </si>
  <si>
    <t>PEDN PAGO X INV</t>
  </si>
  <si>
    <t>TEJEDA HERNANDEZ JOSUE</t>
  </si>
  <si>
    <t>aguinaldo</t>
  </si>
  <si>
    <t>DOMINGUEZ VAZQUEZ JORGE ALBERTO</t>
  </si>
  <si>
    <t>NOMINA PERSONAL INVERMEX GENERAL</t>
  </si>
  <si>
    <t>TOTAL NOMINA SEMANAL</t>
  </si>
  <si>
    <t>NOMINA BARRIDO CLARIOS</t>
  </si>
  <si>
    <t>RAMIREZ HECTOR</t>
  </si>
  <si>
    <t>ZAMUDIO CELIS ALBERTO</t>
  </si>
  <si>
    <t>NOMINA PERSONAL VERACRUZ</t>
  </si>
  <si>
    <t>GONZALEZ SILVA MARCOS DAVID</t>
  </si>
  <si>
    <t>HERNANDEZ CORDOVA LUIS ANGEL</t>
  </si>
  <si>
    <t>LLANOS MOLINA LIBIA ZULEMA</t>
  </si>
  <si>
    <t>SEGURISTA</t>
  </si>
  <si>
    <t>NOMINA MANTENIMINETO CLARIOS</t>
  </si>
  <si>
    <t>GANA POR SEMANA 6000.00 NETOS DIF POR FUERA</t>
  </si>
  <si>
    <t>A PAGAR</t>
  </si>
  <si>
    <t>HERRERA CARREON ROSA ISABEL</t>
  </si>
  <si>
    <t>NOMINA MANTENIMIENTO CLARIOS</t>
  </si>
  <si>
    <t>RODRIGUEZ VILLATORO CLEYBER</t>
  </si>
  <si>
    <t>VALDEZ LOZANO IVAN</t>
  </si>
  <si>
    <t>VELAZQUEZ WYNANTS JONATHAN ALFONSO</t>
  </si>
  <si>
    <t>ABONAR IMPUESTOS X FUERA</t>
  </si>
  <si>
    <t>DE LA ROSA VAZQUEZ FELIX ADRIAN</t>
  </si>
  <si>
    <t>MONTANO GARCIA KENAY</t>
  </si>
  <si>
    <t>MONTANO SOSA BRAYAN DANIEL</t>
  </si>
  <si>
    <t>INFONAVIT/fonacot</t>
  </si>
  <si>
    <t>INFONAVIT / FONACOT</t>
  </si>
  <si>
    <t>MENDEZ ROMERO CRISTHIAN</t>
  </si>
  <si>
    <t xml:space="preserve">SUELDO MENOR AL REAL </t>
  </si>
  <si>
    <t>CRUZ LOPEZ NELSON</t>
  </si>
  <si>
    <t>BECERRA RODRIGUEZ JOSE ARMANDO</t>
  </si>
  <si>
    <t>AGUILAR PINEDA JORGE</t>
  </si>
  <si>
    <t>ALVARADO MARTINEZ MIGUEL AILTON</t>
  </si>
  <si>
    <t>OPERADOR</t>
  </si>
  <si>
    <t>MARTINEZ VARGAS MARGARITO</t>
  </si>
  <si>
    <t>ALVARADO MARTINEZ FELIPE</t>
  </si>
  <si>
    <t>CASTILLO MARTINEZ LEOBARDO JOVANNY</t>
  </si>
  <si>
    <t>BAUTISTA GARCIA JORGE</t>
  </si>
  <si>
    <t xml:space="preserve">sueldo </t>
  </si>
  <si>
    <t>ABONAR IMPUESTOS X FUERA y 500 extra por semana</t>
  </si>
  <si>
    <t>sueldo</t>
  </si>
  <si>
    <t>VILLAR GONZALEZ LUIS MARTIN</t>
  </si>
  <si>
    <t>MEDRANO ESPINOZA MARIO ALBERTO</t>
  </si>
  <si>
    <t>RASGADO SALINAS AURELIO</t>
  </si>
  <si>
    <t>GAYTAN MORIN ROBERTO CARLOS</t>
  </si>
  <si>
    <t>EDER GOMEZ</t>
  </si>
  <si>
    <t>Infonavit</t>
  </si>
  <si>
    <t>VAZQUEZ CRUZ JOSE ANTONIO</t>
  </si>
  <si>
    <t>BORBONIO CASTAÑEDA JOSE MANUEL</t>
  </si>
  <si>
    <t>MIRON LLANOS ANGEL SANTIAGO</t>
  </si>
  <si>
    <t>SEMANA del 05 AL 11 DE SEPTIEMBRE 2025</t>
  </si>
  <si>
    <t>ROMERO GARCIA OSCAR</t>
  </si>
  <si>
    <t>CASTRO RIVASA ELIGIO ANTONIO</t>
  </si>
  <si>
    <t>TOTAL</t>
  </si>
  <si>
    <t>CTA</t>
  </si>
  <si>
    <t>METER AURELIO</t>
  </si>
  <si>
    <t xml:space="preserve">SANTANDER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</si>
</sst>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Pts&quot;_-;\-* #,##0.00\ &quot;Pts&quot;_-;_-* &quot;-&quot;??\ &quot;Pts&quot;_-;_-@_-"/>
    <numFmt numFmtId="165" formatCode="&quot;$&quot;#,##0.00"/>
    <numFmt numFmtId="166" formatCode="&quot;$&quot;#,##0.00;[Red]&quot;$&quot;#,##0.00"/>
    <numFmt numFmtId="167" formatCode="00000000000"/>
    <numFmt numFmtId="168" formatCode="#,##0.00;[Red]#,##0.00"/>
    <numFmt numFmtId="169" formatCode="_-[$$-80A]* #,##0.00_-;\-[$$-80A]* #,##0.00_-;_-[$$-80A]* &quot;-&quot;??_-;_-@_-"/>
  </numFmts>
  <fonts count="23" x14ac:knownFonts="1">
    <font>
      <sz val="10"/>
      <name val="Arial"/>
    </font>
    <font>
      <sz val="10"/>
      <name val="Arial"/>
    </font>
    <font>
      <sz val="10"/>
      <name val="Courier"/>
      <family val="3"/>
    </font>
    <font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7"/>
      <name val="Tahoma"/>
      <family val="2"/>
    </font>
    <font>
      <sz val="10"/>
      <name val="Arial"/>
      <family val="2"/>
    </font>
    <font>
      <b/>
      <sz val="14"/>
      <name val="Tahoma"/>
      <family val="2"/>
    </font>
    <font>
      <b/>
      <sz val="2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6"/>
      <name val="Tahoma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Tahoma"/>
      <family val="2"/>
    </font>
    <font>
      <b/>
      <sz val="10"/>
      <color theme="5" tint="-0.249977111117893"/>
      <name val="Arial"/>
      <family val="2"/>
    </font>
    <font>
      <b/>
      <sz val="8"/>
      <color theme="5" tint="-0.249977111117893"/>
      <name val="Tahoma"/>
      <family val="2"/>
    </font>
    <font>
      <b/>
      <sz val="10"/>
      <color theme="5" tint="-0.249977111117893"/>
      <name val="Tahoma"/>
      <family val="2"/>
    </font>
    <font>
      <sz val="9"/>
      <color theme="1"/>
      <name val="Bahnschrift SemiLight"/>
      <family val="2"/>
    </font>
    <font>
      <sz val="10"/>
      <name val="Bahnschrift Semi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186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4" fillId="0" borderId="1" xfId="0" applyFont="1" applyFill="1" applyBorder="1"/>
    <xf numFmtId="43" fontId="4" fillId="0" borderId="1" xfId="0" applyNumberFormat="1" applyFont="1" applyFill="1" applyBorder="1"/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4" fontId="4" fillId="0" borderId="1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66" fontId="4" fillId="0" borderId="0" xfId="0" applyNumberFormat="1" applyFont="1" applyFill="1" applyBorder="1"/>
    <xf numFmtId="166" fontId="11" fillId="0" borderId="0" xfId="0" applyNumberFormat="1" applyFont="1" applyFill="1" applyBorder="1" applyAlignment="1">
      <alignment horizontal="center"/>
    </xf>
    <xf numFmtId="4" fontId="4" fillId="0" borderId="1" xfId="1" applyNumberFormat="1" applyFont="1" applyBorder="1"/>
    <xf numFmtId="4" fontId="4" fillId="0" borderId="0" xfId="1" applyNumberFormat="1" applyFont="1" applyFill="1" applyBorder="1"/>
    <xf numFmtId="4" fontId="4" fillId="0" borderId="0" xfId="0" applyNumberFormat="1" applyFont="1" applyFill="1" applyBorder="1"/>
    <xf numFmtId="4" fontId="4" fillId="0" borderId="0" xfId="1" applyNumberFormat="1" applyFont="1" applyBorder="1"/>
    <xf numFmtId="4" fontId="4" fillId="0" borderId="1" xfId="1" applyNumberFormat="1" applyFont="1" applyFill="1" applyBorder="1"/>
    <xf numFmtId="0" fontId="5" fillId="0" borderId="0" xfId="0" applyFont="1" applyFill="1" applyBorder="1"/>
    <xf numFmtId="165" fontId="4" fillId="0" borderId="0" xfId="1" applyNumberFormat="1" applyFont="1" applyFill="1" applyBorder="1"/>
    <xf numFmtId="165" fontId="4" fillId="0" borderId="0" xfId="1" applyNumberFormat="1" applyFont="1" applyFill="1" applyBorder="1" applyAlignment="1">
      <alignment wrapText="1"/>
    </xf>
    <xf numFmtId="14" fontId="4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6" fontId="3" fillId="0" borderId="0" xfId="0" applyNumberFormat="1" applyFont="1" applyFill="1" applyBorder="1"/>
    <xf numFmtId="2" fontId="4" fillId="0" borderId="0" xfId="0" applyNumberFormat="1" applyFont="1" applyFill="1" applyBorder="1"/>
    <xf numFmtId="4" fontId="5" fillId="0" borderId="1" xfId="1" applyNumberFormat="1" applyFont="1" applyFill="1" applyBorder="1"/>
    <xf numFmtId="0" fontId="5" fillId="2" borderId="0" xfId="0" applyFont="1" applyFill="1" applyBorder="1"/>
    <xf numFmtId="14" fontId="4" fillId="0" borderId="1" xfId="0" applyNumberFormat="1" applyFont="1" applyFill="1" applyBorder="1"/>
    <xf numFmtId="166" fontId="5" fillId="0" borderId="0" xfId="0" applyNumberFormat="1" applyFont="1" applyFill="1" applyBorder="1"/>
    <xf numFmtId="2" fontId="4" fillId="0" borderId="2" xfId="0" applyNumberFormat="1" applyFont="1" applyFill="1" applyBorder="1" applyAlignment="1">
      <alignment horizontal="center"/>
    </xf>
    <xf numFmtId="43" fontId="4" fillId="0" borderId="0" xfId="1" applyNumberFormat="1" applyFont="1" applyBorder="1" applyAlignment="1">
      <alignment vertic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0" fontId="3" fillId="0" borderId="1" xfId="0" applyNumberFormat="1" applyFont="1" applyFill="1" applyBorder="1"/>
    <xf numFmtId="43" fontId="11" fillId="0" borderId="1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4" fillId="3" borderId="0" xfId="0" applyFont="1" applyFill="1" applyBorder="1"/>
    <xf numFmtId="0" fontId="0" fillId="0" borderId="1" xfId="0" applyFont="1" applyFill="1" applyBorder="1"/>
    <xf numFmtId="4" fontId="11" fillId="0" borderId="1" xfId="0" applyNumberFormat="1" applyFont="1" applyFill="1" applyBorder="1" applyAlignment="1"/>
    <xf numFmtId="43" fontId="4" fillId="0" borderId="0" xfId="0" applyNumberFormat="1" applyFont="1" applyFill="1" applyBorder="1"/>
    <xf numFmtId="166" fontId="11" fillId="0" borderId="0" xfId="0" applyNumberFormat="1" applyFont="1" applyFill="1" applyBorder="1" applyAlignment="1">
      <alignment horizontal="left"/>
    </xf>
    <xf numFmtId="39" fontId="0" fillId="0" borderId="0" xfId="1" applyNumberFormat="1" applyFont="1"/>
    <xf numFmtId="4" fontId="0" fillId="0" borderId="0" xfId="1" applyNumberFormat="1" applyFont="1"/>
    <xf numFmtId="4" fontId="0" fillId="0" borderId="0" xfId="0" applyNumberFormat="1"/>
    <xf numFmtId="4" fontId="13" fillId="4" borderId="0" xfId="1" applyNumberFormat="1" applyFont="1" applyFill="1" applyBorder="1" applyAlignment="1"/>
    <xf numFmtId="167" fontId="3" fillId="0" borderId="0" xfId="0" applyNumberFormat="1" applyFont="1" applyFill="1" applyBorder="1"/>
    <xf numFmtId="165" fontId="4" fillId="0" borderId="0" xfId="1" applyNumberFormat="1" applyFont="1" applyFill="1" applyBorder="1" applyAlignment="1">
      <alignment horizontal="center"/>
    </xf>
    <xf numFmtId="168" fontId="5" fillId="0" borderId="0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0" xfId="0" applyFont="1"/>
    <xf numFmtId="0" fontId="8" fillId="0" borderId="1" xfId="0" applyFont="1" applyBorder="1"/>
    <xf numFmtId="14" fontId="0" fillId="0" borderId="0" xfId="0" applyNumberFormat="1" applyFill="1"/>
    <xf numFmtId="4" fontId="0" fillId="0" borderId="0" xfId="0" applyNumberFormat="1" applyFill="1"/>
    <xf numFmtId="0" fontId="4" fillId="5" borderId="0" xfId="0" applyFont="1" applyFill="1" applyBorder="1"/>
    <xf numFmtId="0" fontId="18" fillId="0" borderId="1" xfId="0" applyFont="1" applyFill="1" applyBorder="1"/>
    <xf numFmtId="20" fontId="19" fillId="0" borderId="1" xfId="0" applyNumberFormat="1" applyFont="1" applyFill="1" applyBorder="1"/>
    <xf numFmtId="0" fontId="11" fillId="0" borderId="1" xfId="0" applyFont="1" applyFill="1" applyBorder="1"/>
    <xf numFmtId="0" fontId="12" fillId="0" borderId="1" xfId="0" applyFont="1" applyFill="1" applyBorder="1" applyAlignment="1">
      <alignment horizontal="center"/>
    </xf>
    <xf numFmtId="43" fontId="5" fillId="0" borderId="1" xfId="3" applyNumberFormat="1" applyFont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43" fontId="4" fillId="0" borderId="0" xfId="0" applyNumberFormat="1" applyFont="1" applyFill="1" applyBorder="1" applyAlignment="1">
      <alignment horizontal="center" wrapText="1"/>
    </xf>
    <xf numFmtId="4" fontId="4" fillId="0" borderId="0" xfId="0" applyNumberFormat="1" applyFont="1" applyFill="1" applyBorder="1" applyAlignment="1">
      <alignment horizontal="center" wrapText="1"/>
    </xf>
    <xf numFmtId="4" fontId="5" fillId="4" borderId="1" xfId="1" applyNumberFormat="1" applyFont="1" applyFill="1" applyBorder="1"/>
    <xf numFmtId="4" fontId="5" fillId="4" borderId="3" xfId="1" applyNumberFormat="1" applyFont="1" applyFill="1" applyBorder="1"/>
    <xf numFmtId="4" fontId="4" fillId="0" borderId="4" xfId="0" applyNumberFormat="1" applyFont="1" applyFill="1" applyBorder="1"/>
    <xf numFmtId="0" fontId="4" fillId="0" borderId="4" xfId="0" applyFont="1" applyFill="1" applyBorder="1"/>
    <xf numFmtId="14" fontId="4" fillId="0" borderId="4" xfId="0" applyNumberFormat="1" applyFont="1" applyFill="1" applyBorder="1"/>
    <xf numFmtId="4" fontId="4" fillId="0" borderId="4" xfId="1" applyNumberFormat="1" applyFont="1" applyBorder="1"/>
    <xf numFmtId="4" fontId="4" fillId="0" borderId="4" xfId="1" applyNumberFormat="1" applyFont="1" applyFill="1" applyBorder="1"/>
    <xf numFmtId="4" fontId="4" fillId="0" borderId="5" xfId="1" applyNumberFormat="1" applyFont="1" applyFill="1" applyBorder="1"/>
    <xf numFmtId="4" fontId="4" fillId="4" borderId="6" xfId="0" applyNumberFormat="1" applyFont="1" applyFill="1" applyBorder="1"/>
    <xf numFmtId="0" fontId="4" fillId="4" borderId="2" xfId="0" applyFont="1" applyFill="1" applyBorder="1"/>
    <xf numFmtId="14" fontId="4" fillId="4" borderId="2" xfId="0" applyNumberFormat="1" applyFont="1" applyFill="1" applyBorder="1"/>
    <xf numFmtId="4" fontId="4" fillId="4" borderId="2" xfId="0" applyNumberFormat="1" applyFont="1" applyFill="1" applyBorder="1"/>
    <xf numFmtId="4" fontId="4" fillId="4" borderId="2" xfId="1" applyNumberFormat="1" applyFont="1" applyFill="1" applyBorder="1"/>
    <xf numFmtId="4" fontId="4" fillId="4" borderId="3" xfId="1" applyNumberFormat="1" applyFont="1" applyFill="1" applyBorder="1"/>
    <xf numFmtId="0" fontId="18" fillId="4" borderId="2" xfId="0" applyFont="1" applyFill="1" applyBorder="1"/>
    <xf numFmtId="4" fontId="4" fillId="0" borderId="3" xfId="0" applyNumberFormat="1" applyFont="1" applyFill="1" applyBorder="1"/>
    <xf numFmtId="20" fontId="3" fillId="0" borderId="4" xfId="0" applyNumberFormat="1" applyFont="1" applyFill="1" applyBorder="1"/>
    <xf numFmtId="4" fontId="11" fillId="0" borderId="4" xfId="0" applyNumberFormat="1" applyFont="1" applyFill="1" applyBorder="1" applyAlignment="1"/>
    <xf numFmtId="43" fontId="11" fillId="0" borderId="4" xfId="0" applyNumberFormat="1" applyFont="1" applyFill="1" applyBorder="1"/>
    <xf numFmtId="43" fontId="4" fillId="0" borderId="4" xfId="0" applyNumberFormat="1" applyFont="1" applyFill="1" applyBorder="1"/>
    <xf numFmtId="43" fontId="11" fillId="0" borderId="5" xfId="0" applyNumberFormat="1" applyFont="1" applyFill="1" applyBorder="1"/>
    <xf numFmtId="43" fontId="4" fillId="0" borderId="5" xfId="0" applyNumberFormat="1" applyFont="1" applyFill="1" applyBorder="1"/>
    <xf numFmtId="0" fontId="18" fillId="0" borderId="4" xfId="0" applyFont="1" applyFill="1" applyBorder="1"/>
    <xf numFmtId="4" fontId="17" fillId="0" borderId="1" xfId="0" applyNumberFormat="1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center" wrapText="1"/>
    </xf>
    <xf numFmtId="43" fontId="4" fillId="0" borderId="1" xfId="3" applyNumberFormat="1" applyFont="1" applyBorder="1" applyAlignment="1">
      <alignment horizontal="center"/>
    </xf>
    <xf numFmtId="4" fontId="17" fillId="0" borderId="4" xfId="0" applyNumberFormat="1" applyFont="1" applyFill="1" applyBorder="1" applyAlignment="1">
      <alignment horizontal="left"/>
    </xf>
    <xf numFmtId="4" fontId="5" fillId="0" borderId="4" xfId="1" applyNumberFormat="1" applyFont="1" applyFill="1" applyBorder="1"/>
    <xf numFmtId="0" fontId="7" fillId="4" borderId="6" xfId="0" applyFont="1" applyFill="1" applyBorder="1"/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/>
    <xf numFmtId="0" fontId="5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4" fontId="5" fillId="4" borderId="2" xfId="0" applyNumberFormat="1" applyFont="1" applyFill="1" applyBorder="1" applyAlignment="1">
      <alignment horizontal="center" wrapText="1"/>
    </xf>
    <xf numFmtId="4" fontId="5" fillId="4" borderId="3" xfId="0" applyNumberFormat="1" applyFont="1" applyFill="1" applyBorder="1" applyAlignment="1">
      <alignment horizontal="center" wrapText="1"/>
    </xf>
    <xf numFmtId="0" fontId="16" fillId="4" borderId="2" xfId="0" applyFont="1" applyFill="1" applyBorder="1"/>
    <xf numFmtId="20" fontId="6" fillId="4" borderId="1" xfId="0" applyNumberFormat="1" applyFont="1" applyFill="1" applyBorder="1"/>
    <xf numFmtId="0" fontId="16" fillId="4" borderId="6" xfId="0" applyFont="1" applyFill="1" applyBorder="1"/>
    <xf numFmtId="0" fontId="19" fillId="4" borderId="6" xfId="0" applyFont="1" applyFill="1" applyBorder="1"/>
    <xf numFmtId="43" fontId="5" fillId="4" borderId="1" xfId="0" applyNumberFormat="1" applyFont="1" applyFill="1" applyBorder="1"/>
    <xf numFmtId="4" fontId="12" fillId="4" borderId="2" xfId="0" applyNumberFormat="1" applyFont="1" applyFill="1" applyBorder="1" applyAlignment="1"/>
    <xf numFmtId="43" fontId="5" fillId="4" borderId="3" xfId="0" applyNumberFormat="1" applyFont="1" applyFill="1" applyBorder="1"/>
    <xf numFmtId="0" fontId="18" fillId="0" borderId="0" xfId="0" applyFont="1" applyFill="1" applyBorder="1"/>
    <xf numFmtId="4" fontId="5" fillId="0" borderId="0" xfId="1" applyNumberFormat="1" applyFont="1" applyFill="1" applyBorder="1"/>
    <xf numFmtId="1" fontId="4" fillId="0" borderId="0" xfId="0" applyNumberFormat="1" applyFont="1" applyFill="1" applyBorder="1"/>
    <xf numFmtId="1" fontId="0" fillId="0" borderId="0" xfId="0" applyNumberFormat="1" applyFill="1" applyBorder="1"/>
    <xf numFmtId="43" fontId="11" fillId="0" borderId="7" xfId="0" applyNumberFormat="1" applyFont="1" applyFill="1" applyBorder="1"/>
    <xf numFmtId="4" fontId="11" fillId="0" borderId="3" xfId="0" applyNumberFormat="1" applyFont="1" applyFill="1" applyBorder="1" applyAlignment="1"/>
    <xf numFmtId="0" fontId="20" fillId="0" borderId="1" xfId="0" applyFont="1" applyFill="1" applyBorder="1"/>
    <xf numFmtId="0" fontId="3" fillId="4" borderId="0" xfId="0" applyFont="1" applyFill="1" applyBorder="1"/>
    <xf numFmtId="4" fontId="4" fillId="4" borderId="1" xfId="0" applyNumberFormat="1" applyFont="1" applyFill="1" applyBorder="1"/>
    <xf numFmtId="0" fontId="4" fillId="4" borderId="1" xfId="0" applyFont="1" applyFill="1" applyBorder="1"/>
    <xf numFmtId="0" fontId="18" fillId="4" borderId="1" xfId="0" applyFont="1" applyFill="1" applyBorder="1"/>
    <xf numFmtId="14" fontId="4" fillId="4" borderId="1" xfId="0" applyNumberFormat="1" applyFont="1" applyFill="1" applyBorder="1"/>
    <xf numFmtId="4" fontId="4" fillId="4" borderId="1" xfId="1" applyNumberFormat="1" applyFont="1" applyFill="1" applyBorder="1"/>
    <xf numFmtId="165" fontId="4" fillId="4" borderId="0" xfId="1" applyNumberFormat="1" applyFont="1" applyFill="1" applyBorder="1"/>
    <xf numFmtId="4" fontId="4" fillId="4" borderId="0" xfId="0" applyNumberFormat="1" applyFont="1" applyFill="1" applyBorder="1"/>
    <xf numFmtId="20" fontId="19" fillId="4" borderId="1" xfId="0" applyNumberFormat="1" applyFont="1" applyFill="1" applyBorder="1"/>
    <xf numFmtId="0" fontId="4" fillId="4" borderId="0" xfId="0" applyFont="1" applyFill="1" applyBorder="1"/>
    <xf numFmtId="2" fontId="4" fillId="0" borderId="1" xfId="0" applyNumberFormat="1" applyFont="1" applyFill="1" applyBorder="1"/>
    <xf numFmtId="165" fontId="4" fillId="0" borderId="1" xfId="1" applyNumberFormat="1" applyFont="1" applyFill="1" applyBorder="1"/>
    <xf numFmtId="165" fontId="4" fillId="0" borderId="1" xfId="0" applyNumberFormat="1" applyFont="1" applyFill="1" applyBorder="1"/>
    <xf numFmtId="0" fontId="4" fillId="0" borderId="1" xfId="0" applyFont="1" applyFill="1" applyBorder="1" applyAlignment="1">
      <alignment horizontal="left"/>
    </xf>
    <xf numFmtId="4" fontId="3" fillId="0" borderId="0" xfId="0" applyNumberFormat="1" applyFont="1" applyFill="1" applyBorder="1"/>
    <xf numFmtId="39" fontId="0" fillId="0" borderId="1" xfId="1" applyNumberFormat="1" applyFont="1" applyBorder="1"/>
    <xf numFmtId="0" fontId="15" fillId="0" borderId="1" xfId="0" applyFont="1" applyFill="1" applyBorder="1"/>
    <xf numFmtId="0" fontId="8" fillId="0" borderId="4" xfId="0" applyFont="1" applyFill="1" applyBorder="1"/>
    <xf numFmtId="0" fontId="5" fillId="0" borderId="1" xfId="0" applyFont="1" applyFill="1" applyBorder="1" applyAlignment="1">
      <alignment horizontal="center" wrapText="1"/>
    </xf>
    <xf numFmtId="4" fontId="12" fillId="4" borderId="1" xfId="0" applyNumberFormat="1" applyFont="1" applyFill="1" applyBorder="1" applyAlignment="1"/>
    <xf numFmtId="4" fontId="5" fillId="2" borderId="1" xfId="1" applyNumberFormat="1" applyFont="1" applyFill="1" applyBorder="1"/>
    <xf numFmtId="165" fontId="5" fillId="0" borderId="0" xfId="1" applyNumberFormat="1" applyFont="1" applyFill="1" applyBorder="1"/>
    <xf numFmtId="0" fontId="4" fillId="0" borderId="3" xfId="0" applyFont="1" applyFill="1" applyBorder="1"/>
    <xf numFmtId="14" fontId="4" fillId="0" borderId="3" xfId="0" applyNumberFormat="1" applyFont="1" applyFill="1" applyBorder="1"/>
    <xf numFmtId="0" fontId="4" fillId="0" borderId="0" xfId="0" applyFont="1" applyFill="1" applyBorder="1" applyAlignment="1">
      <alignment horizontal="right"/>
    </xf>
    <xf numFmtId="2" fontId="4" fillId="0" borderId="6" xfId="0" applyNumberFormat="1" applyFont="1" applyFill="1" applyBorder="1" applyAlignment="1">
      <alignment horizontal="center"/>
    </xf>
    <xf numFmtId="0" fontId="5" fillId="4" borderId="0" xfId="0" applyFont="1" applyFill="1" applyBorder="1"/>
    <xf numFmtId="168" fontId="5" fillId="4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2" xfId="0" applyFont="1" applyFill="1" applyBorder="1"/>
    <xf numFmtId="20" fontId="19" fillId="6" borderId="1" xfId="0" applyNumberFormat="1" applyFont="1" applyFill="1" applyBorder="1"/>
    <xf numFmtId="20" fontId="19" fillId="7" borderId="1" xfId="0" applyNumberFormat="1" applyFont="1" applyFill="1" applyBorder="1"/>
    <xf numFmtId="20" fontId="19" fillId="8" borderId="1" xfId="0" applyNumberFormat="1" applyFont="1" applyFill="1" applyBorder="1"/>
    <xf numFmtId="4" fontId="11" fillId="9" borderId="3" xfId="0" applyNumberFormat="1" applyFont="1" applyFill="1" applyBorder="1" applyAlignment="1"/>
    <xf numFmtId="43" fontId="11" fillId="9" borderId="7" xfId="0" applyNumberFormat="1" applyFont="1" applyFill="1" applyBorder="1"/>
    <xf numFmtId="43" fontId="4" fillId="9" borderId="1" xfId="0" applyNumberFormat="1" applyFont="1" applyFill="1" applyBorder="1"/>
    <xf numFmtId="4" fontId="4" fillId="9" borderId="1" xfId="0" applyNumberFormat="1" applyFont="1" applyFill="1" applyBorder="1"/>
    <xf numFmtId="0" fontId="4" fillId="9" borderId="1" xfId="0" applyFont="1" applyFill="1" applyBorder="1"/>
    <xf numFmtId="0" fontId="4" fillId="9" borderId="0" xfId="0" applyFont="1" applyFill="1" applyBorder="1"/>
    <xf numFmtId="164" fontId="21" fillId="10" borderId="9" xfId="1" applyFont="1" applyFill="1" applyBorder="1"/>
    <xf numFmtId="1" fontId="21" fillId="0" borderId="9" xfId="1" applyNumberFormat="1" applyFont="1" applyBorder="1" applyAlignment="1">
      <alignment horizontal="center"/>
    </xf>
    <xf numFmtId="169" fontId="21" fillId="10" borderId="9" xfId="1" applyNumberFormat="1" applyFont="1" applyFill="1" applyBorder="1"/>
    <xf numFmtId="169" fontId="21" fillId="0" borderId="9" xfId="1" applyNumberFormat="1" applyFont="1" applyBorder="1"/>
    <xf numFmtId="0" fontId="22" fillId="0" borderId="0" xfId="0" applyFont="1"/>
    <xf numFmtId="169" fontId="22" fillId="0" borderId="0" xfId="1" applyNumberFormat="1" applyFont="1"/>
    <xf numFmtId="1" fontId="21" fillId="0" borderId="11" xfId="1" applyNumberFormat="1" applyFont="1" applyBorder="1" applyAlignment="1">
      <alignment horizontal="center"/>
    </xf>
    <xf numFmtId="169" fontId="21" fillId="0" borderId="11" xfId="1" applyNumberFormat="1" applyFont="1" applyBorder="1"/>
    <xf numFmtId="1" fontId="21" fillId="0" borderId="12" xfId="1" applyNumberFormat="1" applyFont="1" applyBorder="1" applyAlignment="1">
      <alignment horizontal="center"/>
    </xf>
    <xf numFmtId="169" fontId="21" fillId="0" borderId="12" xfId="1" applyNumberFormat="1" applyFont="1" applyBorder="1"/>
    <xf numFmtId="0" fontId="21" fillId="10" borderId="0" xfId="0" applyFont="1" applyFill="1" applyAlignment="1">
      <alignment horizontal="center"/>
    </xf>
    <xf numFmtId="44" fontId="21" fillId="10" borderId="0" xfId="0" applyNumberFormat="1" applyFont="1" applyFill="1"/>
    <xf numFmtId="44" fontId="21" fillId="10" borderId="10" xfId="0" applyNumberFormat="1" applyFont="1" applyFill="1" applyBorder="1"/>
    <xf numFmtId="0" fontId="22" fillId="0" borderId="13" xfId="0" applyFont="1" applyBorder="1"/>
    <xf numFmtId="169" fontId="22" fillId="0" borderId="11" xfId="1" applyNumberFormat="1" applyFont="1" applyBorder="1"/>
    <xf numFmtId="0" fontId="22" fillId="0" borderId="14" xfId="0" applyFont="1" applyBorder="1"/>
    <xf numFmtId="169" fontId="22" fillId="0" borderId="9" xfId="1" applyNumberFormat="1" applyFont="1" applyBorder="1"/>
    <xf numFmtId="0" fontId="22" fillId="0" borderId="15" xfId="0" applyFont="1" applyBorder="1"/>
    <xf numFmtId="169" fontId="22" fillId="0" borderId="12" xfId="1" applyNumberFormat="1" applyFont="1" applyBorder="1"/>
    <xf numFmtId="0" fontId="8" fillId="0" borderId="0" xfId="0" applyFont="1" applyFill="1" applyBorder="1" applyAlignment="1">
      <alignment horizontal="center"/>
    </xf>
    <xf numFmtId="43" fontId="11" fillId="5" borderId="7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0" fontId="14" fillId="0" borderId="0" xfId="0" applyNumberFormat="1" applyFont="1" applyFill="1" applyBorder="1" applyAlignment="1">
      <alignment horizontal="center"/>
    </xf>
    <xf numFmtId="4" fontId="13" fillId="4" borderId="8" xfId="1" applyNumberFormat="1" applyFont="1" applyFill="1" applyBorder="1" applyAlignment="1">
      <alignment horizontal="center" wrapText="1"/>
    </xf>
    <xf numFmtId="4" fontId="13" fillId="4" borderId="0" xfId="1" applyNumberFormat="1" applyFont="1" applyFill="1" applyBorder="1" applyAlignment="1">
      <alignment horizontal="center" wrapText="1"/>
    </xf>
    <xf numFmtId="4" fontId="4" fillId="0" borderId="0" xfId="0" applyNumberFormat="1" applyFont="1" applyFill="1" applyBorder="1" applyAlignment="1">
      <alignment horizontal="center" wrapText="1"/>
    </xf>
  </cellXfs>
  <cellStyles count="4">
    <cellStyle name="Moneda" xfId="1" builtinId="4"/>
    <cellStyle name="No-definido" xfId="2" xr:uid="{C6AE0B6F-01CC-458E-A122-7C27A882AC40}"/>
    <cellStyle name="Normal" xfId="0" builtinId="0"/>
    <cellStyle name="Normal_AGUINALDO" xfId="3" xr:uid="{0E23B9F2-B898-472B-962D-F1F05EE5745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88685-A3FD-4673-8D7B-0BAE52CA0EA6}">
  <sheetPr>
    <pageSetUpPr fitToPage="1"/>
  </sheetPr>
  <dimension ref="A1:Z119"/>
  <sheetViews>
    <sheetView tabSelected="1" topLeftCell="A49" zoomScale="80" workbookViewId="0">
      <selection activeCell="J107" sqref="J107"/>
    </sheetView>
  </sheetViews>
  <sheetFormatPr baseColWidth="10" defaultRowHeight="12.75" x14ac:dyDescent="0.2"/>
  <cols>
    <col min="1" max="1" width="3.7109375" style="1" customWidth="1"/>
    <col min="2" max="2" width="7.28515625" style="2" customWidth="1"/>
    <col min="3" max="3" width="17.7109375" style="2" customWidth="1"/>
    <col min="4" max="4" width="39.140625" style="2" customWidth="1"/>
    <col min="5" max="5" width="15" style="2" customWidth="1"/>
    <col min="6" max="6" width="13.85546875" style="2" customWidth="1"/>
    <col min="7" max="7" width="14.42578125" style="2" customWidth="1"/>
    <col min="8" max="8" width="13.42578125" style="2" customWidth="1"/>
    <col min="9" max="9" width="10.7109375" style="2" customWidth="1"/>
    <col min="10" max="10" width="11.5703125" style="2" customWidth="1"/>
    <col min="11" max="11" width="11" style="2" customWidth="1"/>
    <col min="12" max="12" width="15.85546875" style="2" customWidth="1"/>
    <col min="13" max="13" width="16" style="11" customWidth="1"/>
    <col min="14" max="14" width="16.140625" style="21" customWidth="1"/>
    <col min="15" max="18" width="13.7109375" style="2" customWidth="1"/>
    <col min="19" max="16384" width="11.42578125" style="2"/>
  </cols>
  <sheetData>
    <row r="1" spans="1:26" ht="25.5" x14ac:dyDescent="0.35">
      <c r="C1" s="180" t="s">
        <v>5</v>
      </c>
      <c r="D1" s="180"/>
      <c r="E1" s="180"/>
      <c r="F1" s="180"/>
      <c r="G1" s="180"/>
      <c r="H1" s="180"/>
      <c r="I1" s="180"/>
      <c r="J1" s="180"/>
      <c r="K1" s="180"/>
      <c r="L1" s="180"/>
      <c r="M1" s="25"/>
    </row>
    <row r="3" spans="1:26" ht="8.25" customHeight="1" x14ac:dyDescent="0.25">
      <c r="D3" s="181"/>
      <c r="E3" s="181"/>
      <c r="F3" s="181"/>
      <c r="G3" s="181"/>
      <c r="H3" s="181"/>
      <c r="I3" s="181"/>
    </row>
    <row r="4" spans="1:26" ht="21" customHeight="1" x14ac:dyDescent="0.25">
      <c r="G4" s="17"/>
      <c r="M4" s="25"/>
      <c r="O4" s="183" t="s">
        <v>25</v>
      </c>
      <c r="P4" s="184"/>
      <c r="Q4" s="184"/>
      <c r="R4" s="184"/>
      <c r="S4" s="50"/>
      <c r="T4" s="50"/>
      <c r="U4" s="50"/>
      <c r="V4" s="50"/>
      <c r="W4" s="50"/>
      <c r="X4" s="50"/>
      <c r="Y4" s="50"/>
      <c r="Z4" s="50"/>
    </row>
    <row r="5" spans="1:26" ht="1.5" customHeight="1" x14ac:dyDescent="0.2">
      <c r="Q5" s="142"/>
    </row>
    <row r="6" spans="1:26" ht="36.75" customHeight="1" x14ac:dyDescent="0.2">
      <c r="A6" s="3"/>
      <c r="B6" s="5" t="s">
        <v>0</v>
      </c>
      <c r="C6" s="4" t="s">
        <v>2</v>
      </c>
      <c r="D6" s="3" t="s">
        <v>1</v>
      </c>
      <c r="E6" s="8" t="s">
        <v>18</v>
      </c>
      <c r="F6" s="9" t="s">
        <v>13</v>
      </c>
      <c r="G6" s="8" t="s">
        <v>11</v>
      </c>
      <c r="H6" s="8" t="s">
        <v>6</v>
      </c>
      <c r="I6" s="8" t="s">
        <v>3</v>
      </c>
      <c r="J6" s="8" t="s">
        <v>57</v>
      </c>
      <c r="K6" s="9" t="s">
        <v>7</v>
      </c>
      <c r="L6" s="8" t="s">
        <v>4</v>
      </c>
      <c r="M6" s="12" t="s">
        <v>17</v>
      </c>
      <c r="N6" s="22"/>
      <c r="O6" s="23"/>
      <c r="P6" s="23"/>
      <c r="Q6" s="143"/>
      <c r="R6" s="31"/>
      <c r="S6" s="31"/>
      <c r="W6" s="31"/>
      <c r="X6" s="31"/>
    </row>
    <row r="7" spans="1:26" ht="36.75" customHeight="1" x14ac:dyDescent="0.2">
      <c r="A7" s="3"/>
      <c r="B7" s="5"/>
      <c r="C7" s="4"/>
      <c r="D7" s="94" t="s">
        <v>38</v>
      </c>
      <c r="E7" s="95">
        <v>43983</v>
      </c>
      <c r="F7" s="10"/>
      <c r="G7" s="15"/>
      <c r="H7" s="19">
        <v>1880.4</v>
      </c>
      <c r="I7" s="15">
        <v>0</v>
      </c>
      <c r="J7" s="10">
        <f>H51</f>
        <v>0</v>
      </c>
      <c r="K7" s="15">
        <f>I7+J7</f>
        <v>0</v>
      </c>
      <c r="L7" s="29">
        <f>H7</f>
        <v>1880.4</v>
      </c>
      <c r="M7" s="12"/>
      <c r="N7" s="22"/>
      <c r="O7" s="23"/>
      <c r="P7" s="23"/>
      <c r="Q7" s="143"/>
      <c r="R7" s="31"/>
      <c r="S7" s="31"/>
      <c r="W7" s="31"/>
      <c r="X7" s="31"/>
    </row>
    <row r="8" spans="1:26" ht="36.75" customHeight="1" x14ac:dyDescent="0.2">
      <c r="A8" s="3"/>
      <c r="B8" s="5"/>
      <c r="C8" s="4"/>
      <c r="D8" s="97" t="s">
        <v>39</v>
      </c>
      <c r="E8" s="95">
        <v>43983</v>
      </c>
      <c r="F8" s="73">
        <v>2800</v>
      </c>
      <c r="G8" s="76"/>
      <c r="H8" s="77">
        <f>(F8/7)*7+G8</f>
        <v>2800</v>
      </c>
      <c r="I8" s="76">
        <v>0</v>
      </c>
      <c r="J8" s="73">
        <v>649.21</v>
      </c>
      <c r="K8" s="76">
        <f>I8+J8</f>
        <v>649.21</v>
      </c>
      <c r="L8" s="98">
        <f>H8-K8</f>
        <v>2150.79</v>
      </c>
      <c r="M8" s="12"/>
      <c r="N8" s="22"/>
      <c r="O8" s="23"/>
      <c r="P8" s="23"/>
      <c r="Q8" s="143"/>
      <c r="R8" s="31"/>
      <c r="S8" s="31"/>
      <c r="W8" s="31"/>
      <c r="X8" s="31"/>
    </row>
    <row r="9" spans="1:26" ht="36.75" customHeight="1" x14ac:dyDescent="0.2">
      <c r="A9" s="3"/>
      <c r="B9" s="99"/>
      <c r="C9" s="100"/>
      <c r="D9" s="101" t="s">
        <v>40</v>
      </c>
      <c r="E9" s="102"/>
      <c r="F9" s="103"/>
      <c r="G9" s="102"/>
      <c r="H9" s="104"/>
      <c r="I9" s="104"/>
      <c r="J9" s="104"/>
      <c r="K9" s="104"/>
      <c r="L9" s="105">
        <f>SUM(L7:L8)</f>
        <v>4031.19</v>
      </c>
      <c r="M9" s="12"/>
      <c r="N9" s="22"/>
      <c r="O9" s="23"/>
      <c r="P9" s="23"/>
      <c r="Q9" s="143"/>
      <c r="R9" s="31"/>
      <c r="S9" s="31"/>
      <c r="W9" s="31"/>
      <c r="X9" s="31"/>
    </row>
    <row r="10" spans="1:26" ht="35.25" customHeight="1" x14ac:dyDescent="0.2">
      <c r="A10" s="1">
        <v>2</v>
      </c>
      <c r="B10" s="10">
        <f t="shared" ref="B10:B15" si="0">F10/7</f>
        <v>300</v>
      </c>
      <c r="C10" s="6" t="s">
        <v>15</v>
      </c>
      <c r="D10" s="43" t="s">
        <v>19</v>
      </c>
      <c r="E10" s="31">
        <v>45202</v>
      </c>
      <c r="F10" s="10">
        <v>2100</v>
      </c>
      <c r="G10" s="15">
        <f>700+1200+120</f>
        <v>2020</v>
      </c>
      <c r="H10" s="19">
        <f t="shared" ref="H10:H16" si="1">(F10/7)*7+G10</f>
        <v>4120</v>
      </c>
      <c r="I10" s="19">
        <v>0</v>
      </c>
      <c r="J10" s="10">
        <f>H54</f>
        <v>0</v>
      </c>
      <c r="K10" s="15">
        <f t="shared" ref="K10:K16" si="2">I10+J10</f>
        <v>0</v>
      </c>
      <c r="L10" s="29">
        <f t="shared" ref="L10:L15" si="3">H10-K10</f>
        <v>4120</v>
      </c>
      <c r="M10" s="33"/>
      <c r="O10" s="17"/>
      <c r="Q10" s="142"/>
      <c r="R10" s="6"/>
      <c r="S10" s="6"/>
      <c r="T10" s="6"/>
      <c r="U10" s="6"/>
      <c r="V10" s="6"/>
      <c r="W10" s="6"/>
      <c r="X10" s="6"/>
    </row>
    <row r="11" spans="1:26" ht="35.25" customHeight="1" x14ac:dyDescent="0.2">
      <c r="A11" s="1">
        <v>3</v>
      </c>
      <c r="B11" s="10">
        <f t="shared" si="0"/>
        <v>332.85714285714283</v>
      </c>
      <c r="C11" s="6" t="s">
        <v>14</v>
      </c>
      <c r="D11" s="43" t="s">
        <v>20</v>
      </c>
      <c r="E11" s="31">
        <v>45376</v>
      </c>
      <c r="F11" s="10">
        <v>2330</v>
      </c>
      <c r="G11" s="15">
        <f>2270+1000+665.72+1040</f>
        <v>4975.72</v>
      </c>
      <c r="H11" s="19">
        <f t="shared" si="1"/>
        <v>7305.72</v>
      </c>
      <c r="I11" s="19">
        <v>0</v>
      </c>
      <c r="J11" s="10">
        <f t="shared" ref="J11:J17" si="4">H55</f>
        <v>881.86</v>
      </c>
      <c r="K11" s="15">
        <f t="shared" si="2"/>
        <v>881.86</v>
      </c>
      <c r="L11" s="29">
        <f t="shared" si="3"/>
        <v>6423.8600000000006</v>
      </c>
      <c r="M11" s="33"/>
      <c r="O11" s="17"/>
      <c r="Q11" s="142"/>
      <c r="R11" s="6"/>
      <c r="S11" s="6"/>
      <c r="T11" s="6"/>
      <c r="U11" s="6"/>
      <c r="V11" s="6"/>
      <c r="W11" s="6"/>
      <c r="X11" s="6"/>
    </row>
    <row r="12" spans="1:26" ht="35.25" customHeight="1" x14ac:dyDescent="0.2">
      <c r="A12" s="1">
        <v>4</v>
      </c>
      <c r="B12" s="10">
        <f t="shared" si="0"/>
        <v>285.71428571428572</v>
      </c>
      <c r="C12" s="6" t="s">
        <v>22</v>
      </c>
      <c r="D12" s="43" t="s">
        <v>21</v>
      </c>
      <c r="E12" s="31">
        <v>45418</v>
      </c>
      <c r="F12" s="10">
        <v>2000</v>
      </c>
      <c r="G12" s="15">
        <f>3000+1000+120</f>
        <v>4120</v>
      </c>
      <c r="H12" s="19">
        <f t="shared" si="1"/>
        <v>6120</v>
      </c>
      <c r="I12" s="19">
        <v>0</v>
      </c>
      <c r="J12" s="10">
        <f t="shared" si="4"/>
        <v>209.36</v>
      </c>
      <c r="K12" s="15">
        <f t="shared" si="2"/>
        <v>209.36</v>
      </c>
      <c r="L12" s="29">
        <f t="shared" si="3"/>
        <v>5910.64</v>
      </c>
      <c r="M12" s="33"/>
      <c r="O12" s="17"/>
      <c r="Q12" s="142"/>
      <c r="R12" s="6"/>
      <c r="S12" s="6"/>
      <c r="T12" s="6"/>
      <c r="U12" s="6"/>
      <c r="V12" s="6"/>
      <c r="W12" s="6"/>
      <c r="X12" s="6"/>
    </row>
    <row r="13" spans="1:26" ht="35.25" customHeight="1" x14ac:dyDescent="0.2">
      <c r="A13" s="1">
        <v>8</v>
      </c>
      <c r="B13" s="10">
        <f t="shared" si="0"/>
        <v>300</v>
      </c>
      <c r="C13" s="6" t="s">
        <v>15</v>
      </c>
      <c r="D13" s="43" t="s">
        <v>26</v>
      </c>
      <c r="E13" s="31">
        <v>45695</v>
      </c>
      <c r="F13" s="10">
        <v>2100</v>
      </c>
      <c r="G13" s="15">
        <f>2000+600</f>
        <v>2600</v>
      </c>
      <c r="H13" s="19">
        <f t="shared" si="1"/>
        <v>4700</v>
      </c>
      <c r="I13" s="19">
        <v>0</v>
      </c>
      <c r="J13" s="10">
        <f t="shared" si="4"/>
        <v>0</v>
      </c>
      <c r="K13" s="15">
        <f t="shared" si="2"/>
        <v>0</v>
      </c>
      <c r="L13" s="29">
        <f t="shared" si="3"/>
        <v>4700</v>
      </c>
      <c r="M13" s="33"/>
      <c r="O13" s="17"/>
      <c r="Q13" s="142"/>
      <c r="R13" s="6"/>
      <c r="S13" s="6"/>
      <c r="T13" s="6"/>
      <c r="U13" s="6"/>
      <c r="V13" s="6"/>
      <c r="W13" s="6"/>
      <c r="X13" s="6"/>
    </row>
    <row r="14" spans="1:26" ht="35.25" customHeight="1" x14ac:dyDescent="0.2">
      <c r="A14" s="1">
        <v>9</v>
      </c>
      <c r="B14" s="10">
        <f t="shared" si="0"/>
        <v>332.85714285714283</v>
      </c>
      <c r="C14" s="6" t="s">
        <v>14</v>
      </c>
      <c r="D14" s="43" t="s">
        <v>32</v>
      </c>
      <c r="E14" s="31">
        <v>45720</v>
      </c>
      <c r="F14" s="10">
        <v>2330</v>
      </c>
      <c r="G14" s="15">
        <f>2270+1000+665.71+800</f>
        <v>4735.71</v>
      </c>
      <c r="H14" s="19">
        <f t="shared" si="1"/>
        <v>7065.71</v>
      </c>
      <c r="I14" s="19">
        <v>0</v>
      </c>
      <c r="J14" s="10">
        <f t="shared" si="4"/>
        <v>604.45000000000005</v>
      </c>
      <c r="K14" s="15">
        <f t="shared" si="2"/>
        <v>604.45000000000005</v>
      </c>
      <c r="L14" s="29">
        <f t="shared" si="3"/>
        <v>6461.26</v>
      </c>
      <c r="M14" s="33"/>
      <c r="O14" s="17"/>
      <c r="Q14" s="142"/>
      <c r="R14" s="6"/>
      <c r="S14" s="6"/>
      <c r="T14" s="6"/>
      <c r="U14" s="6"/>
      <c r="V14" s="6"/>
      <c r="W14" s="6"/>
      <c r="X14" s="6"/>
    </row>
    <row r="15" spans="1:26" ht="35.25" customHeight="1" x14ac:dyDescent="0.2">
      <c r="A15" s="1">
        <v>16</v>
      </c>
      <c r="B15" s="10">
        <f t="shared" si="0"/>
        <v>332.85714285714283</v>
      </c>
      <c r="C15" s="6" t="s">
        <v>14</v>
      </c>
      <c r="D15" s="54" t="s">
        <v>52</v>
      </c>
      <c r="E15" s="31">
        <v>45789</v>
      </c>
      <c r="F15" s="10">
        <v>2330</v>
      </c>
      <c r="G15" s="15">
        <f>2270+1000</f>
        <v>3270</v>
      </c>
      <c r="H15" s="19">
        <f t="shared" si="1"/>
        <v>5600</v>
      </c>
      <c r="I15" s="19">
        <v>0</v>
      </c>
      <c r="J15" s="10">
        <f t="shared" si="4"/>
        <v>0</v>
      </c>
      <c r="K15" s="15">
        <f t="shared" si="2"/>
        <v>0</v>
      </c>
      <c r="L15" s="29">
        <f t="shared" si="3"/>
        <v>5600</v>
      </c>
      <c r="M15" s="145"/>
      <c r="O15" s="17"/>
    </row>
    <row r="16" spans="1:26" ht="35.25" customHeight="1" x14ac:dyDescent="0.2">
      <c r="B16" s="73">
        <v>300</v>
      </c>
      <c r="C16" s="74" t="s">
        <v>29</v>
      </c>
      <c r="D16" s="137" t="s">
        <v>51</v>
      </c>
      <c r="E16" s="75">
        <v>45855</v>
      </c>
      <c r="F16" s="73">
        <v>2100</v>
      </c>
      <c r="G16" s="17">
        <f>2000+600+360</f>
        <v>2960</v>
      </c>
      <c r="H16" s="19">
        <f t="shared" si="1"/>
        <v>5060</v>
      </c>
      <c r="I16" s="19">
        <v>0</v>
      </c>
      <c r="J16" s="10">
        <f t="shared" si="4"/>
        <v>0</v>
      </c>
      <c r="K16" s="15">
        <f t="shared" si="2"/>
        <v>0</v>
      </c>
      <c r="L16" s="29">
        <f>H16-K16</f>
        <v>5060</v>
      </c>
      <c r="M16" s="33"/>
      <c r="O16" s="17"/>
    </row>
    <row r="17" spans="1:18" ht="35.25" customHeight="1" x14ac:dyDescent="0.2">
      <c r="B17" s="73">
        <f>2000/7</f>
        <v>285.71428571428572</v>
      </c>
      <c r="C17" s="6" t="s">
        <v>29</v>
      </c>
      <c r="D17" s="54" t="s">
        <v>73</v>
      </c>
      <c r="E17" s="31">
        <v>45904</v>
      </c>
      <c r="F17" s="10">
        <v>2000</v>
      </c>
      <c r="G17" s="15">
        <f>2000</f>
        <v>2000</v>
      </c>
      <c r="H17" s="19">
        <f>(F17/7)*6+G17</f>
        <v>3714.2857142857142</v>
      </c>
      <c r="I17" s="19">
        <v>0</v>
      </c>
      <c r="J17" s="10">
        <f t="shared" si="4"/>
        <v>250.39</v>
      </c>
      <c r="K17" s="15">
        <f>I17+J17</f>
        <v>250.39</v>
      </c>
      <c r="L17" s="29">
        <f>H17-K17</f>
        <v>3463.8957142857143</v>
      </c>
      <c r="M17" s="33"/>
      <c r="O17" s="17"/>
    </row>
    <row r="18" spans="1:18" ht="35.25" customHeight="1" x14ac:dyDescent="0.2">
      <c r="B18" s="73">
        <f>2000/7</f>
        <v>285.71428571428572</v>
      </c>
      <c r="C18" s="149"/>
      <c r="D18" s="6" t="s">
        <v>80</v>
      </c>
      <c r="E18" s="31">
        <v>45908</v>
      </c>
      <c r="F18" s="10">
        <v>2100</v>
      </c>
      <c r="G18" s="10">
        <f>600+1300</f>
        <v>1900</v>
      </c>
      <c r="H18" s="10">
        <f>(2100/7)*3+G18</f>
        <v>2800</v>
      </c>
      <c r="I18" s="10">
        <v>0</v>
      </c>
      <c r="J18" s="10">
        <v>0</v>
      </c>
      <c r="K18" s="10">
        <v>0</v>
      </c>
      <c r="L18" s="29">
        <f>H18-K18</f>
        <v>2800</v>
      </c>
      <c r="M18" s="33"/>
      <c r="O18" s="17"/>
    </row>
    <row r="19" spans="1:18" ht="35.25" customHeight="1" x14ac:dyDescent="0.2">
      <c r="B19" s="73">
        <f>2000/7</f>
        <v>285.71428571428572</v>
      </c>
      <c r="C19" s="149"/>
      <c r="D19" s="6" t="s">
        <v>81</v>
      </c>
      <c r="E19" s="31">
        <v>45908</v>
      </c>
      <c r="F19" s="10">
        <v>2100</v>
      </c>
      <c r="G19" s="10">
        <f>600+1300</f>
        <v>1900</v>
      </c>
      <c r="H19" s="10">
        <f>(2100/7)*3+G19</f>
        <v>2800</v>
      </c>
      <c r="I19" s="10">
        <v>0</v>
      </c>
      <c r="J19" s="10">
        <v>0</v>
      </c>
      <c r="K19" s="10">
        <v>0</v>
      </c>
      <c r="L19" s="29">
        <f>H19-K19</f>
        <v>2800</v>
      </c>
      <c r="M19" s="33"/>
      <c r="O19" s="17"/>
    </row>
    <row r="20" spans="1:18" ht="35.25" customHeight="1" x14ac:dyDescent="0.2">
      <c r="B20" s="79"/>
      <c r="C20" s="80"/>
      <c r="D20" s="106" t="s">
        <v>35</v>
      </c>
      <c r="E20" s="81"/>
      <c r="F20" s="82"/>
      <c r="G20" s="83"/>
      <c r="H20" s="83"/>
      <c r="I20" s="83"/>
      <c r="J20" s="82"/>
      <c r="K20" s="84"/>
      <c r="L20" s="72">
        <f>SUM(L10:L19)</f>
        <v>47339.65571428572</v>
      </c>
      <c r="M20" s="33"/>
    </row>
    <row r="21" spans="1:18" ht="35.25" customHeight="1" x14ac:dyDescent="0.2">
      <c r="A21" s="1">
        <v>17</v>
      </c>
      <c r="B21" s="73">
        <f>F21/7</f>
        <v>714.29</v>
      </c>
      <c r="C21" s="6" t="s">
        <v>27</v>
      </c>
      <c r="D21" s="60" t="s">
        <v>34</v>
      </c>
      <c r="E21" s="31">
        <v>45773</v>
      </c>
      <c r="F21" s="10">
        <v>5000.03</v>
      </c>
      <c r="G21" s="19">
        <f>2142.86+2284</f>
        <v>4426.8600000000006</v>
      </c>
      <c r="H21" s="78">
        <v>5000.03</v>
      </c>
      <c r="I21" s="77">
        <v>820.03</v>
      </c>
      <c r="J21" s="73">
        <v>0</v>
      </c>
      <c r="K21" s="76">
        <f>I21+J21</f>
        <v>820.03</v>
      </c>
      <c r="L21" s="29">
        <f>H21-K21+G21</f>
        <v>8606.86</v>
      </c>
      <c r="M21" s="33"/>
      <c r="O21" s="17"/>
    </row>
    <row r="22" spans="1:18" ht="35.25" customHeight="1" x14ac:dyDescent="0.2">
      <c r="B22" s="73">
        <f>4500/7</f>
        <v>642.85714285714289</v>
      </c>
      <c r="C22" s="6" t="s">
        <v>29</v>
      </c>
      <c r="D22" s="93" t="s">
        <v>28</v>
      </c>
      <c r="E22" s="31">
        <v>45710</v>
      </c>
      <c r="F22" s="10">
        <v>4500</v>
      </c>
      <c r="G22" s="6"/>
      <c r="H22" s="78">
        <v>4500.0200000000004</v>
      </c>
      <c r="I22" s="19">
        <v>698.7</v>
      </c>
      <c r="J22" s="10">
        <v>464.92</v>
      </c>
      <c r="K22" s="15">
        <f>I22+J22</f>
        <v>1163.6200000000001</v>
      </c>
      <c r="L22" s="29">
        <f>H22-K22+G22</f>
        <v>3336.4000000000005</v>
      </c>
      <c r="M22" s="33"/>
    </row>
    <row r="23" spans="1:18" ht="35.25" customHeight="1" x14ac:dyDescent="0.2">
      <c r="B23" s="73">
        <f>F23/7</f>
        <v>571.42857142857144</v>
      </c>
      <c r="C23" s="6" t="s">
        <v>29</v>
      </c>
      <c r="D23" s="60" t="s">
        <v>41</v>
      </c>
      <c r="E23" s="75">
        <v>45791</v>
      </c>
      <c r="F23" s="73">
        <v>4000</v>
      </c>
      <c r="G23" s="19">
        <f>577.21+1142.86-0.01</f>
        <v>1720.06</v>
      </c>
      <c r="H23" s="19">
        <v>4000.01</v>
      </c>
      <c r="I23" s="78">
        <v>577.21</v>
      </c>
      <c r="J23" s="10">
        <v>0</v>
      </c>
      <c r="K23" s="19">
        <f>I23+J23</f>
        <v>577.21</v>
      </c>
      <c r="L23" s="29">
        <f>H23-K23+G23</f>
        <v>5142.8600000000006</v>
      </c>
      <c r="M23" s="33"/>
      <c r="N23" s="126" t="s">
        <v>53</v>
      </c>
      <c r="O23" s="127"/>
    </row>
    <row r="24" spans="1:18" ht="35.25" customHeight="1" x14ac:dyDescent="0.2">
      <c r="B24" s="73">
        <f>F24/7</f>
        <v>571.42857142857144</v>
      </c>
      <c r="C24" s="6" t="s">
        <v>29</v>
      </c>
      <c r="D24" s="60" t="s">
        <v>69</v>
      </c>
      <c r="E24" s="31">
        <v>45891</v>
      </c>
      <c r="F24" s="10">
        <v>4000</v>
      </c>
      <c r="G24" s="19">
        <f>300+1142</f>
        <v>1442</v>
      </c>
      <c r="H24" s="19">
        <f>(4000/7)*7+G24</f>
        <v>5442</v>
      </c>
      <c r="I24" s="19">
        <v>84.4</v>
      </c>
      <c r="J24" s="10">
        <v>0</v>
      </c>
      <c r="K24" s="19">
        <f>I24+J24</f>
        <v>84.4</v>
      </c>
      <c r="L24" s="140">
        <f>H24-K24</f>
        <v>5357.6</v>
      </c>
      <c r="M24" s="33"/>
      <c r="O24" s="17"/>
    </row>
    <row r="25" spans="1:18" ht="35.25" customHeight="1" x14ac:dyDescent="0.2">
      <c r="A25" s="120"/>
      <c r="B25" s="121"/>
      <c r="C25" s="122"/>
      <c r="D25" s="123" t="s">
        <v>49</v>
      </c>
      <c r="E25" s="124"/>
      <c r="F25" s="121"/>
      <c r="G25" s="125"/>
      <c r="H25" s="125"/>
      <c r="I25" s="125"/>
      <c r="J25" s="121"/>
      <c r="K25" s="125"/>
      <c r="L25" s="71">
        <f>SUM(L21:L24)</f>
        <v>22443.72</v>
      </c>
      <c r="M25" s="33"/>
      <c r="O25" s="17"/>
    </row>
    <row r="26" spans="1:18" ht="35.25" customHeight="1" x14ac:dyDescent="0.2">
      <c r="B26" s="10">
        <f>F26/7</f>
        <v>714.28571428571433</v>
      </c>
      <c r="C26" s="6" t="s">
        <v>44</v>
      </c>
      <c r="D26" s="119" t="s">
        <v>43</v>
      </c>
      <c r="E26" s="31">
        <v>45821</v>
      </c>
      <c r="F26" s="10">
        <v>5000</v>
      </c>
      <c r="G26" s="10">
        <v>1747.9</v>
      </c>
      <c r="H26" s="10">
        <v>4166.6899999999996</v>
      </c>
      <c r="I26" s="10">
        <v>628.89</v>
      </c>
      <c r="J26" s="10">
        <v>0</v>
      </c>
      <c r="K26" s="19">
        <f t="shared" ref="K26:K39" si="5">I26+J26</f>
        <v>628.89</v>
      </c>
      <c r="L26" s="29">
        <f t="shared" ref="L26:L38" si="6">H26-K26+G26</f>
        <v>5285.7</v>
      </c>
      <c r="M26" s="33"/>
      <c r="N26" s="126" t="s">
        <v>46</v>
      </c>
      <c r="O26" s="127"/>
      <c r="P26" s="129"/>
    </row>
    <row r="27" spans="1:18" ht="35.25" customHeight="1" x14ac:dyDescent="0.2">
      <c r="B27" s="10">
        <f t="shared" ref="B27:B42" si="7">F27/7</f>
        <v>714.28571428571433</v>
      </c>
      <c r="C27" s="6" t="s">
        <v>44</v>
      </c>
      <c r="D27" s="119" t="s">
        <v>48</v>
      </c>
      <c r="E27" s="31">
        <v>45845</v>
      </c>
      <c r="F27" s="10">
        <v>5000</v>
      </c>
      <c r="G27" s="10">
        <v>1428</v>
      </c>
      <c r="H27" s="10">
        <v>5000.03</v>
      </c>
      <c r="I27" s="10">
        <v>820.03</v>
      </c>
      <c r="J27" s="10">
        <v>0</v>
      </c>
      <c r="K27" s="19">
        <f t="shared" si="5"/>
        <v>820.03</v>
      </c>
      <c r="L27" s="29">
        <f t="shared" si="6"/>
        <v>5608</v>
      </c>
      <c r="M27" s="33"/>
      <c r="O27" s="17"/>
    </row>
    <row r="28" spans="1:18" ht="35.25" customHeight="1" x14ac:dyDescent="0.2">
      <c r="B28" s="10">
        <f t="shared" si="7"/>
        <v>642.85714285714289</v>
      </c>
      <c r="C28" s="6" t="s">
        <v>44</v>
      </c>
      <c r="D28" s="119" t="s">
        <v>75</v>
      </c>
      <c r="E28" s="31">
        <v>45901</v>
      </c>
      <c r="F28" s="10">
        <v>4500</v>
      </c>
      <c r="G28" s="10">
        <v>500</v>
      </c>
      <c r="H28" s="10">
        <f>(4500/7)*6+G28</f>
        <v>4357.1428571428569</v>
      </c>
      <c r="I28" s="10">
        <v>98.4</v>
      </c>
      <c r="J28" s="10">
        <v>0</v>
      </c>
      <c r="K28" s="19">
        <f t="shared" si="5"/>
        <v>98.4</v>
      </c>
      <c r="L28" s="140">
        <f>H28-K28</f>
        <v>4258.7428571428572</v>
      </c>
      <c r="M28" s="33"/>
      <c r="N28" s="126" t="s">
        <v>53</v>
      </c>
      <c r="O28" s="127"/>
    </row>
    <row r="29" spans="1:18" ht="35.25" customHeight="1" x14ac:dyDescent="0.2">
      <c r="B29" s="73">
        <f>F29/7</f>
        <v>714.28571428571433</v>
      </c>
      <c r="C29" s="6" t="s">
        <v>27</v>
      </c>
      <c r="D29" s="60" t="s">
        <v>74</v>
      </c>
      <c r="E29" s="31">
        <v>45902</v>
      </c>
      <c r="F29" s="10">
        <v>5000</v>
      </c>
      <c r="G29" s="15">
        <v>84.4</v>
      </c>
      <c r="H29" s="19">
        <f>(5000/7)*7+G29</f>
        <v>5084.3999999999996</v>
      </c>
      <c r="I29" s="19">
        <v>84.4</v>
      </c>
      <c r="J29" s="10">
        <v>0</v>
      </c>
      <c r="K29" s="19">
        <f>I29+J29</f>
        <v>84.4</v>
      </c>
      <c r="L29" s="140">
        <f>H29-K29</f>
        <v>5000</v>
      </c>
      <c r="M29" s="33"/>
      <c r="N29" s="126" t="s">
        <v>53</v>
      </c>
      <c r="O29" s="127"/>
      <c r="R29" s="2">
        <f>4500/7*6</f>
        <v>3857.1428571428573</v>
      </c>
    </row>
    <row r="30" spans="1:18" ht="35.25" customHeight="1" x14ac:dyDescent="0.2">
      <c r="B30" s="10">
        <f t="shared" ref="B30:B36" si="8">F30/7</f>
        <v>500</v>
      </c>
      <c r="C30" s="6" t="s">
        <v>65</v>
      </c>
      <c r="D30" s="119" t="s">
        <v>42</v>
      </c>
      <c r="E30" s="31">
        <v>45817</v>
      </c>
      <c r="F30" s="10">
        <v>3500</v>
      </c>
      <c r="G30" s="10">
        <f>254.93+600+1142</f>
        <v>1996.93</v>
      </c>
      <c r="H30" s="10">
        <v>2333.33</v>
      </c>
      <c r="I30" s="10">
        <v>254.93</v>
      </c>
      <c r="J30" s="10">
        <v>0</v>
      </c>
      <c r="K30" s="19">
        <f t="shared" si="5"/>
        <v>254.93</v>
      </c>
      <c r="L30" s="29">
        <f>H30-K30+G30</f>
        <v>4075.33</v>
      </c>
      <c r="M30" s="33"/>
      <c r="N30" s="126" t="s">
        <v>53</v>
      </c>
      <c r="O30" s="127"/>
    </row>
    <row r="31" spans="1:18" ht="35.25" customHeight="1" x14ac:dyDescent="0.2">
      <c r="B31" s="10">
        <f t="shared" si="8"/>
        <v>571.42857142857144</v>
      </c>
      <c r="C31" s="6" t="s">
        <v>65</v>
      </c>
      <c r="D31" s="119" t="s">
        <v>54</v>
      </c>
      <c r="E31" s="31">
        <v>45866</v>
      </c>
      <c r="F31" s="10">
        <v>4000</v>
      </c>
      <c r="G31" s="6">
        <f>64.8+300+571.43+1142</f>
        <v>2078.23</v>
      </c>
      <c r="H31" s="10">
        <v>1750</v>
      </c>
      <c r="I31" s="10">
        <v>64.8</v>
      </c>
      <c r="J31" s="10">
        <v>0</v>
      </c>
      <c r="K31" s="10">
        <f t="shared" si="5"/>
        <v>64.8</v>
      </c>
      <c r="L31" s="29">
        <f t="shared" si="6"/>
        <v>3763.4300000000003</v>
      </c>
      <c r="M31" s="33"/>
      <c r="N31" s="126" t="s">
        <v>71</v>
      </c>
      <c r="O31" s="127"/>
      <c r="P31" s="129"/>
    </row>
    <row r="32" spans="1:18" ht="35.25" customHeight="1" x14ac:dyDescent="0.2">
      <c r="B32" s="10">
        <f t="shared" si="8"/>
        <v>500</v>
      </c>
      <c r="C32" s="6" t="s">
        <v>65</v>
      </c>
      <c r="D32" s="119" t="s">
        <v>61</v>
      </c>
      <c r="E32" s="31">
        <v>45887</v>
      </c>
      <c r="F32" s="10">
        <v>3500</v>
      </c>
      <c r="G32" s="6">
        <f>84.3+300+2284</f>
        <v>2668.3</v>
      </c>
      <c r="H32" s="10">
        <f>(3500/7)*7+G32</f>
        <v>6168.3</v>
      </c>
      <c r="I32" s="10">
        <v>84.3</v>
      </c>
      <c r="J32" s="10">
        <v>1070.9000000000001</v>
      </c>
      <c r="K32" s="10">
        <f t="shared" si="5"/>
        <v>1155.2</v>
      </c>
      <c r="L32" s="140">
        <f>H32-K32</f>
        <v>5013.1000000000004</v>
      </c>
      <c r="M32" s="33"/>
      <c r="N32" s="126" t="s">
        <v>53</v>
      </c>
      <c r="O32" s="127"/>
    </row>
    <row r="33" spans="2:15" ht="35.25" customHeight="1" x14ac:dyDescent="0.2">
      <c r="B33" s="10">
        <f t="shared" si="8"/>
        <v>571.42857142857144</v>
      </c>
      <c r="C33" s="6" t="s">
        <v>65</v>
      </c>
      <c r="D33" s="119" t="s">
        <v>62</v>
      </c>
      <c r="E33" s="31">
        <v>45887</v>
      </c>
      <c r="F33" s="10">
        <v>4000</v>
      </c>
      <c r="G33" s="6">
        <f>84.4+300+2285.71+2284</f>
        <v>4954.1100000000006</v>
      </c>
      <c r="H33" s="10">
        <f>(4000/7)*7+G33</f>
        <v>8954.11</v>
      </c>
      <c r="I33" s="10">
        <v>84.4</v>
      </c>
      <c r="J33" s="10">
        <v>0</v>
      </c>
      <c r="K33" s="10">
        <f t="shared" si="5"/>
        <v>84.4</v>
      </c>
      <c r="L33" s="140">
        <f>H33-K33</f>
        <v>8869.7100000000009</v>
      </c>
      <c r="M33" s="33"/>
      <c r="N33" s="126" t="s">
        <v>53</v>
      </c>
      <c r="O33" s="127"/>
    </row>
    <row r="34" spans="2:15" ht="35.25" customHeight="1" x14ac:dyDescent="0.2">
      <c r="B34" s="10">
        <f t="shared" si="8"/>
        <v>571.42857142857144</v>
      </c>
      <c r="C34" s="6" t="s">
        <v>65</v>
      </c>
      <c r="D34" s="119" t="s">
        <v>63</v>
      </c>
      <c r="E34" s="31">
        <v>45887</v>
      </c>
      <c r="F34" s="10">
        <v>4000</v>
      </c>
      <c r="G34" s="6">
        <f>84.4+300+1714.29+2284</f>
        <v>4382.6900000000005</v>
      </c>
      <c r="H34" s="10">
        <f>(4000/7)*7+G34</f>
        <v>8382.69</v>
      </c>
      <c r="I34" s="10">
        <v>84.4</v>
      </c>
      <c r="J34" s="10">
        <v>0</v>
      </c>
      <c r="K34" s="10">
        <f t="shared" si="5"/>
        <v>84.4</v>
      </c>
      <c r="L34" s="140">
        <f>H34-K34</f>
        <v>8298.2900000000009</v>
      </c>
      <c r="M34" s="33"/>
      <c r="N34" s="126" t="s">
        <v>53</v>
      </c>
      <c r="O34" s="127"/>
    </row>
    <row r="35" spans="2:15" ht="35.25" customHeight="1" x14ac:dyDescent="0.2">
      <c r="B35" s="10">
        <f t="shared" si="8"/>
        <v>571.42857142857144</v>
      </c>
      <c r="C35" s="6" t="s">
        <v>65</v>
      </c>
      <c r="D35" s="119" t="s">
        <v>64</v>
      </c>
      <c r="E35" s="31">
        <v>45887</v>
      </c>
      <c r="F35" s="10">
        <v>4000</v>
      </c>
      <c r="G35" s="6">
        <f>84.4+300+1714.29+2284</f>
        <v>4382.6900000000005</v>
      </c>
      <c r="H35" s="10">
        <f>(4000/7)*7+G35</f>
        <v>8382.69</v>
      </c>
      <c r="I35" s="10">
        <v>84.4</v>
      </c>
      <c r="J35" s="10">
        <v>0</v>
      </c>
      <c r="K35" s="10">
        <f t="shared" si="5"/>
        <v>84.4</v>
      </c>
      <c r="L35" s="140">
        <f>H35-K35</f>
        <v>8298.2900000000009</v>
      </c>
      <c r="M35" s="33"/>
      <c r="N35" s="126" t="s">
        <v>53</v>
      </c>
      <c r="O35" s="127"/>
    </row>
    <row r="36" spans="2:15" ht="35.25" customHeight="1" x14ac:dyDescent="0.2">
      <c r="B36" s="6">
        <f t="shared" si="8"/>
        <v>500</v>
      </c>
      <c r="C36" s="6" t="s">
        <v>29</v>
      </c>
      <c r="D36" s="119" t="s">
        <v>50</v>
      </c>
      <c r="E36" s="31">
        <v>45854</v>
      </c>
      <c r="F36" s="10">
        <v>3500</v>
      </c>
      <c r="G36" s="6">
        <f>245.73+300+1000</f>
        <v>1545.73</v>
      </c>
      <c r="H36" s="10">
        <v>2333.33</v>
      </c>
      <c r="I36" s="10">
        <v>245.73</v>
      </c>
      <c r="J36" s="10">
        <v>0</v>
      </c>
      <c r="K36" s="10">
        <f t="shared" si="5"/>
        <v>245.73</v>
      </c>
      <c r="L36" s="29">
        <f t="shared" si="6"/>
        <v>3633.33</v>
      </c>
      <c r="M36" s="33"/>
      <c r="N36" s="126" t="s">
        <v>53</v>
      </c>
      <c r="O36" s="127"/>
    </row>
    <row r="37" spans="2:15" ht="35.25" customHeight="1" x14ac:dyDescent="0.2">
      <c r="B37" s="6">
        <f t="shared" si="7"/>
        <v>500</v>
      </c>
      <c r="C37" s="6" t="s">
        <v>29</v>
      </c>
      <c r="D37" s="119" t="s">
        <v>55</v>
      </c>
      <c r="E37" s="31">
        <v>45866</v>
      </c>
      <c r="F37" s="10">
        <v>3500</v>
      </c>
      <c r="G37" s="6">
        <f>458.2+300+1713+1142</f>
        <v>3613.2</v>
      </c>
      <c r="H37" s="10">
        <v>3500</v>
      </c>
      <c r="I37" s="10">
        <v>458.2</v>
      </c>
      <c r="J37" s="10">
        <v>0</v>
      </c>
      <c r="K37" s="10">
        <f t="shared" si="5"/>
        <v>458.2</v>
      </c>
      <c r="L37" s="29">
        <f t="shared" si="6"/>
        <v>6655</v>
      </c>
      <c r="M37" s="33"/>
      <c r="N37" s="126" t="s">
        <v>53</v>
      </c>
      <c r="O37" s="127"/>
    </row>
    <row r="38" spans="2:15" ht="35.25" customHeight="1" x14ac:dyDescent="0.2">
      <c r="B38" s="6">
        <f t="shared" si="7"/>
        <v>500</v>
      </c>
      <c r="C38" s="6" t="s">
        <v>29</v>
      </c>
      <c r="D38" s="119" t="s">
        <v>56</v>
      </c>
      <c r="E38" s="31">
        <v>45866</v>
      </c>
      <c r="F38" s="10">
        <v>3500</v>
      </c>
      <c r="G38" s="6">
        <f>46.47+300</f>
        <v>346.47</v>
      </c>
      <c r="H38" s="10">
        <v>500</v>
      </c>
      <c r="I38" s="10">
        <v>46.47</v>
      </c>
      <c r="J38" s="10">
        <v>0</v>
      </c>
      <c r="K38" s="10">
        <f t="shared" si="5"/>
        <v>46.47</v>
      </c>
      <c r="L38" s="29">
        <f t="shared" si="6"/>
        <v>800</v>
      </c>
      <c r="M38" s="33"/>
      <c r="N38" s="126" t="s">
        <v>53</v>
      </c>
      <c r="O38" s="127"/>
    </row>
    <row r="39" spans="2:15" ht="35.25" customHeight="1" x14ac:dyDescent="0.2">
      <c r="B39" s="6">
        <f t="shared" si="7"/>
        <v>500</v>
      </c>
      <c r="C39" s="6" t="s">
        <v>29</v>
      </c>
      <c r="D39" s="119" t="s">
        <v>59</v>
      </c>
      <c r="E39" s="31">
        <v>45881</v>
      </c>
      <c r="F39" s="10">
        <v>3500</v>
      </c>
      <c r="G39" s="6">
        <f>84.36+300+2284+1142</f>
        <v>3810.36</v>
      </c>
      <c r="H39" s="10">
        <f>(3500/7)*7+G39</f>
        <v>7310.3600000000006</v>
      </c>
      <c r="I39" s="10">
        <v>84.36</v>
      </c>
      <c r="J39" s="10">
        <v>517.04</v>
      </c>
      <c r="K39" s="10">
        <f t="shared" si="5"/>
        <v>601.4</v>
      </c>
      <c r="L39" s="140">
        <f>H39-K39</f>
        <v>6708.9600000000009</v>
      </c>
      <c r="M39" s="33"/>
      <c r="N39" s="126" t="s">
        <v>53</v>
      </c>
      <c r="O39" s="127"/>
    </row>
    <row r="40" spans="2:15" ht="35.25" customHeight="1" x14ac:dyDescent="0.2">
      <c r="B40" s="6">
        <f t="shared" si="7"/>
        <v>500</v>
      </c>
      <c r="C40" s="6" t="s">
        <v>29</v>
      </c>
      <c r="D40" s="119" t="s">
        <v>66</v>
      </c>
      <c r="E40" s="31">
        <v>45887</v>
      </c>
      <c r="F40" s="10">
        <v>3500</v>
      </c>
      <c r="G40" s="6">
        <f>84.4+300+1142+1142</f>
        <v>2668.4</v>
      </c>
      <c r="H40" s="10">
        <f>(3500/7)*7+G40</f>
        <v>6168.4</v>
      </c>
      <c r="I40" s="10">
        <v>84.4</v>
      </c>
      <c r="J40" s="10">
        <v>0</v>
      </c>
      <c r="K40" s="10">
        <f t="shared" ref="K40:K46" si="9">I40+J40</f>
        <v>84.4</v>
      </c>
      <c r="L40" s="140">
        <f t="shared" ref="L40:L46" si="10">H40-K40</f>
        <v>6084</v>
      </c>
      <c r="M40" s="33"/>
      <c r="N40" s="126" t="s">
        <v>53</v>
      </c>
      <c r="O40" s="127"/>
    </row>
    <row r="41" spans="2:15" ht="35.25" customHeight="1" x14ac:dyDescent="0.2">
      <c r="B41" s="6">
        <f t="shared" si="7"/>
        <v>500</v>
      </c>
      <c r="C41" s="6" t="s">
        <v>29</v>
      </c>
      <c r="D41" s="119" t="s">
        <v>67</v>
      </c>
      <c r="E41" s="31">
        <v>45887</v>
      </c>
      <c r="F41" s="10">
        <v>3500</v>
      </c>
      <c r="G41" s="6">
        <f>84.4+300+1713+1000</f>
        <v>3097.4</v>
      </c>
      <c r="H41" s="10">
        <f>(3500/7)*7+G41</f>
        <v>6597.4</v>
      </c>
      <c r="I41" s="10">
        <v>84.4</v>
      </c>
      <c r="J41" s="10">
        <v>0</v>
      </c>
      <c r="K41" s="10">
        <f t="shared" si="9"/>
        <v>84.4</v>
      </c>
      <c r="L41" s="140">
        <f t="shared" si="10"/>
        <v>6513</v>
      </c>
      <c r="M41" s="33"/>
      <c r="N41" s="126" t="s">
        <v>53</v>
      </c>
      <c r="O41" s="127"/>
    </row>
    <row r="42" spans="2:15" ht="35.25" customHeight="1" x14ac:dyDescent="0.2">
      <c r="B42" s="6">
        <f t="shared" si="7"/>
        <v>571.42857142857144</v>
      </c>
      <c r="C42" s="6" t="s">
        <v>29</v>
      </c>
      <c r="D42" s="119" t="s">
        <v>68</v>
      </c>
      <c r="E42" s="31">
        <v>45887</v>
      </c>
      <c r="F42" s="10">
        <v>4000</v>
      </c>
      <c r="G42" s="6">
        <f>84.4+300+1714.29+1142</f>
        <v>3240.69</v>
      </c>
      <c r="H42" s="10">
        <f>(4000/7)*7+G42</f>
        <v>7240.6900000000005</v>
      </c>
      <c r="I42" s="10">
        <v>84.4</v>
      </c>
      <c r="J42" s="10">
        <v>0</v>
      </c>
      <c r="K42" s="10">
        <f t="shared" si="9"/>
        <v>84.4</v>
      </c>
      <c r="L42" s="140">
        <f t="shared" si="10"/>
        <v>7156.2900000000009</v>
      </c>
      <c r="M42" s="33"/>
      <c r="N42" s="126" t="s">
        <v>53</v>
      </c>
      <c r="O42" s="127"/>
    </row>
    <row r="43" spans="2:15" ht="35.25" customHeight="1" x14ac:dyDescent="0.2">
      <c r="B43" s="6">
        <f>F43/7</f>
        <v>571.42857142857144</v>
      </c>
      <c r="C43" s="6"/>
      <c r="D43" s="119" t="s">
        <v>76</v>
      </c>
      <c r="E43" s="31">
        <v>45902</v>
      </c>
      <c r="F43" s="10">
        <v>4000</v>
      </c>
      <c r="G43" s="6">
        <f>84.4+300</f>
        <v>384.4</v>
      </c>
      <c r="H43" s="10">
        <f>(4000/7)*7+G43</f>
        <v>4384.3999999999996</v>
      </c>
      <c r="I43" s="10">
        <v>84.4</v>
      </c>
      <c r="J43" s="10">
        <v>0</v>
      </c>
      <c r="K43" s="10">
        <f t="shared" si="9"/>
        <v>84.4</v>
      </c>
      <c r="L43" s="140">
        <f>H43-K43</f>
        <v>4300</v>
      </c>
      <c r="M43" s="33"/>
      <c r="N43" s="126" t="s">
        <v>53</v>
      </c>
      <c r="O43" s="127"/>
    </row>
    <row r="44" spans="2:15" ht="35.25" customHeight="1" x14ac:dyDescent="0.2">
      <c r="B44" s="6">
        <f>F44/7</f>
        <v>500</v>
      </c>
      <c r="C44" s="6"/>
      <c r="D44" s="119" t="s">
        <v>79</v>
      </c>
      <c r="E44" s="31">
        <v>45908</v>
      </c>
      <c r="F44" s="10">
        <v>3500</v>
      </c>
      <c r="G44" s="6">
        <f>28.4+300</f>
        <v>328.4</v>
      </c>
      <c r="H44" s="10">
        <f>(3500/7)*3+G44</f>
        <v>1828.4</v>
      </c>
      <c r="I44" s="10">
        <v>28.4</v>
      </c>
      <c r="J44" s="10">
        <v>0</v>
      </c>
      <c r="K44" s="10">
        <f t="shared" si="9"/>
        <v>28.4</v>
      </c>
      <c r="L44" s="140">
        <f t="shared" si="10"/>
        <v>1800</v>
      </c>
      <c r="M44" s="33"/>
      <c r="N44" s="126" t="s">
        <v>53</v>
      </c>
      <c r="O44" s="127"/>
    </row>
    <row r="45" spans="2:15" ht="35.25" customHeight="1" x14ac:dyDescent="0.2">
      <c r="B45" s="6">
        <f>F45/7</f>
        <v>571.42857142857144</v>
      </c>
      <c r="C45" s="6"/>
      <c r="D45" s="119" t="s">
        <v>83</v>
      </c>
      <c r="E45" s="31">
        <v>45905</v>
      </c>
      <c r="F45" s="10">
        <v>4000</v>
      </c>
      <c r="G45" s="6">
        <f>28.2</f>
        <v>28.2</v>
      </c>
      <c r="H45" s="10">
        <f>(4000/7)*3+G45</f>
        <v>1742.4857142857143</v>
      </c>
      <c r="I45" s="10">
        <v>28.2</v>
      </c>
      <c r="J45" s="10">
        <v>0</v>
      </c>
      <c r="K45" s="10">
        <f t="shared" si="9"/>
        <v>28.2</v>
      </c>
      <c r="L45" s="140">
        <f t="shared" si="10"/>
        <v>1714.2857142857142</v>
      </c>
      <c r="M45" s="33"/>
      <c r="N45" s="126" t="s">
        <v>53</v>
      </c>
      <c r="O45" s="127"/>
    </row>
    <row r="46" spans="2:15" ht="35.25" customHeight="1" x14ac:dyDescent="0.2">
      <c r="B46" s="6">
        <f>F46/7</f>
        <v>571.42857142857144</v>
      </c>
      <c r="C46" s="6"/>
      <c r="D46" s="119" t="s">
        <v>84</v>
      </c>
      <c r="E46" s="31">
        <v>45905</v>
      </c>
      <c r="F46" s="10">
        <v>4000</v>
      </c>
      <c r="G46" s="6">
        <f>28.2</f>
        <v>28.2</v>
      </c>
      <c r="H46" s="10">
        <f>(4000/7)*3+G46</f>
        <v>1742.4857142857143</v>
      </c>
      <c r="I46" s="10">
        <v>28.2</v>
      </c>
      <c r="J46" s="10">
        <v>0</v>
      </c>
      <c r="K46" s="10">
        <f t="shared" si="9"/>
        <v>28.2</v>
      </c>
      <c r="L46" s="140">
        <f t="shared" si="10"/>
        <v>1714.2857142857142</v>
      </c>
      <c r="M46" s="33"/>
      <c r="N46" s="126" t="s">
        <v>53</v>
      </c>
      <c r="O46" s="127"/>
    </row>
    <row r="47" spans="2:15" ht="35.25" customHeight="1" x14ac:dyDescent="0.2">
      <c r="B47" s="79"/>
      <c r="C47" s="80"/>
      <c r="D47" s="85" t="s">
        <v>37</v>
      </c>
      <c r="E47" s="81"/>
      <c r="F47" s="82"/>
      <c r="G47" s="83"/>
      <c r="H47" s="83"/>
      <c r="I47" s="83"/>
      <c r="J47" s="82"/>
      <c r="K47" s="84"/>
      <c r="L47" s="71">
        <f>SUM(L26:L46)</f>
        <v>105549.74428571429</v>
      </c>
      <c r="M47" s="24"/>
      <c r="O47" s="17"/>
    </row>
    <row r="48" spans="2:15" ht="35.25" customHeight="1" x14ac:dyDescent="0.2">
      <c r="B48" s="17"/>
      <c r="D48" s="113"/>
      <c r="E48" s="23"/>
      <c r="F48" s="17"/>
      <c r="G48" s="16"/>
      <c r="H48" s="16"/>
      <c r="I48" s="16"/>
      <c r="J48" s="17"/>
      <c r="K48" s="16"/>
      <c r="L48" s="114">
        <f>L9+L20+L25+L47</f>
        <v>179364.31</v>
      </c>
      <c r="M48" s="24"/>
      <c r="O48" s="17"/>
    </row>
    <row r="49" spans="1:17" ht="35.25" customHeight="1" x14ac:dyDescent="0.25">
      <c r="C49" s="17"/>
      <c r="D49" s="182" t="s">
        <v>82</v>
      </c>
      <c r="E49" s="182"/>
      <c r="F49" s="182"/>
      <c r="G49" s="182"/>
      <c r="H49" s="182"/>
      <c r="I49" s="18"/>
      <c r="J49" s="18"/>
      <c r="K49" s="18"/>
      <c r="L49" s="34"/>
      <c r="M49" s="24"/>
      <c r="O49" s="17"/>
    </row>
    <row r="50" spans="1:17" ht="30" x14ac:dyDescent="0.2">
      <c r="A50" s="17"/>
      <c r="D50" s="62"/>
      <c r="E50" s="63" t="s">
        <v>8</v>
      </c>
      <c r="F50" s="64" t="s">
        <v>9</v>
      </c>
      <c r="G50" s="65" t="s">
        <v>10</v>
      </c>
      <c r="H50" s="138" t="s">
        <v>58</v>
      </c>
      <c r="I50" s="67" t="s">
        <v>30</v>
      </c>
      <c r="J50" s="68" t="s">
        <v>31</v>
      </c>
      <c r="L50" s="69"/>
      <c r="N50" s="52"/>
      <c r="O50" s="70"/>
    </row>
    <row r="51" spans="1:17" ht="15" x14ac:dyDescent="0.2">
      <c r="A51" s="115">
        <v>1</v>
      </c>
      <c r="D51" s="37" t="str">
        <f>D7</f>
        <v>RAMIREZ HECTOR</v>
      </c>
      <c r="E51" s="44">
        <f>L7-F51</f>
        <v>0</v>
      </c>
      <c r="F51" s="96">
        <v>1880.4</v>
      </c>
      <c r="G51" s="7">
        <f>L7</f>
        <v>1880.4</v>
      </c>
      <c r="H51" s="6"/>
      <c r="I51" s="67"/>
      <c r="J51" s="68"/>
      <c r="L51" s="69"/>
      <c r="N51" s="52"/>
      <c r="O51" s="185"/>
      <c r="P51" s="185"/>
      <c r="Q51" s="185"/>
    </row>
    <row r="52" spans="1:17" ht="15" x14ac:dyDescent="0.2">
      <c r="A52" s="115">
        <v>2</v>
      </c>
      <c r="D52" s="37" t="str">
        <f>D8</f>
        <v>ZAMUDIO CELIS ALBERTO</v>
      </c>
      <c r="E52" s="44">
        <f>L8-F52</f>
        <v>889.58999999999992</v>
      </c>
      <c r="F52" s="96">
        <v>1261.2</v>
      </c>
      <c r="G52" s="7">
        <f>L8</f>
        <v>2150.79</v>
      </c>
      <c r="H52" s="6">
        <v>649.21</v>
      </c>
      <c r="I52" s="67"/>
      <c r="J52" s="68"/>
      <c r="L52" s="69"/>
      <c r="N52" s="141"/>
    </row>
    <row r="53" spans="1:17" x14ac:dyDescent="0.2">
      <c r="A53" s="115"/>
      <c r="D53" s="107" t="s">
        <v>40</v>
      </c>
      <c r="E53" s="110">
        <f>SUM(E51:E52)</f>
        <v>889.58999999999992</v>
      </c>
      <c r="F53" s="110">
        <f>SUM(F51:F52)</f>
        <v>3141.6000000000004</v>
      </c>
      <c r="G53" s="110">
        <f>SUM(G51:G52)</f>
        <v>4031.19</v>
      </c>
      <c r="H53" s="66"/>
      <c r="I53" s="67"/>
      <c r="J53" s="68"/>
      <c r="L53" s="69"/>
      <c r="N53" s="141" t="s">
        <v>77</v>
      </c>
    </row>
    <row r="54" spans="1:17" ht="15" x14ac:dyDescent="0.2">
      <c r="A54" s="115">
        <v>3</v>
      </c>
      <c r="B54" s="36"/>
      <c r="C54" s="26"/>
      <c r="D54" s="37" t="str">
        <f t="shared" ref="D54:D63" si="11">D10</f>
        <v>ROBLEDO LOPEZ HOMERO</v>
      </c>
      <c r="E54" s="44">
        <f t="shared" ref="E54:E63" si="12">L10-F54</f>
        <v>2239.8000000000002</v>
      </c>
      <c r="F54" s="38">
        <v>1880.2</v>
      </c>
      <c r="G54" s="7">
        <f t="shared" ref="G54:G63" si="13">L10</f>
        <v>4120</v>
      </c>
      <c r="H54" s="10"/>
      <c r="I54" s="6"/>
      <c r="J54" s="10"/>
      <c r="K54" s="45"/>
      <c r="M54" s="133" t="s">
        <v>70</v>
      </c>
      <c r="N54" s="19">
        <v>0</v>
      </c>
      <c r="Q54" s="17"/>
    </row>
    <row r="55" spans="1:17" ht="15" x14ac:dyDescent="0.2">
      <c r="A55" s="116">
        <v>4</v>
      </c>
      <c r="B55" s="36"/>
      <c r="C55" s="26"/>
      <c r="D55" s="37" t="str">
        <f t="shared" si="11"/>
        <v>YEPEZ GARCIA SANTIAGO</v>
      </c>
      <c r="E55" s="44">
        <f t="shared" si="12"/>
        <v>5395.06</v>
      </c>
      <c r="F55" s="38">
        <v>1028.8</v>
      </c>
      <c r="G55" s="7">
        <f t="shared" si="13"/>
        <v>6423.8600000000006</v>
      </c>
      <c r="H55" s="10">
        <v>881.86</v>
      </c>
      <c r="I55" s="6"/>
      <c r="J55" s="6"/>
      <c r="K55" s="45"/>
      <c r="M55" s="6" t="s">
        <v>23</v>
      </c>
      <c r="N55" s="19"/>
      <c r="Q55" s="17"/>
    </row>
    <row r="56" spans="1:17" ht="15" x14ac:dyDescent="0.2">
      <c r="A56" s="115">
        <v>5</v>
      </c>
      <c r="B56" s="36"/>
      <c r="C56" s="26"/>
      <c r="D56" s="37" t="str">
        <f t="shared" si="11"/>
        <v>MATA POSADA JOSE VENTURA</v>
      </c>
      <c r="E56" s="44">
        <f t="shared" si="12"/>
        <v>4239.6400000000003</v>
      </c>
      <c r="F56" s="38">
        <v>1671</v>
      </c>
      <c r="G56" s="7">
        <f t="shared" si="13"/>
        <v>5910.64</v>
      </c>
      <c r="H56" s="10">
        <v>209.36</v>
      </c>
      <c r="I56" s="6"/>
      <c r="J56" s="6"/>
      <c r="K56" s="45"/>
      <c r="M56" s="6" t="s">
        <v>24</v>
      </c>
      <c r="N56" s="19"/>
    </row>
    <row r="57" spans="1:17" ht="15" x14ac:dyDescent="0.2">
      <c r="A57" s="116">
        <v>6</v>
      </c>
      <c r="B57" s="36"/>
      <c r="C57" s="26"/>
      <c r="D57" s="37" t="str">
        <f t="shared" si="11"/>
        <v>MUÑIZ QUIROZ FRANCISCO JAVIER</v>
      </c>
      <c r="E57" s="44">
        <f t="shared" si="12"/>
        <v>2819.8</v>
      </c>
      <c r="F57" s="38">
        <v>1880.2</v>
      </c>
      <c r="G57" s="7">
        <f t="shared" si="13"/>
        <v>4700</v>
      </c>
      <c r="H57" s="10"/>
      <c r="I57" s="6"/>
      <c r="J57" s="10"/>
      <c r="K57" s="45"/>
      <c r="M57" s="130" t="s">
        <v>33</v>
      </c>
      <c r="N57" s="10"/>
    </row>
    <row r="58" spans="1:17" ht="15" x14ac:dyDescent="0.2">
      <c r="A58" s="115">
        <v>7</v>
      </c>
      <c r="B58" s="36"/>
      <c r="C58" s="26"/>
      <c r="D58" s="37" t="str">
        <f t="shared" si="11"/>
        <v>TEJEDA HERNANDEZ JOSUE</v>
      </c>
      <c r="E58" s="44">
        <f t="shared" si="12"/>
        <v>5155.0600000000004</v>
      </c>
      <c r="F58" s="38">
        <v>1306.2</v>
      </c>
      <c r="G58" s="7">
        <f t="shared" si="13"/>
        <v>6461.26</v>
      </c>
      <c r="H58" s="10">
        <v>604.45000000000005</v>
      </c>
      <c r="I58" s="6"/>
      <c r="J58" s="10"/>
      <c r="K58" s="45"/>
      <c r="M58" s="130" t="s">
        <v>78</v>
      </c>
      <c r="N58" s="10"/>
    </row>
    <row r="59" spans="1:17" ht="15" x14ac:dyDescent="0.2">
      <c r="A59" s="116">
        <v>8</v>
      </c>
      <c r="B59" s="36"/>
      <c r="C59" s="26"/>
      <c r="D59" s="87" t="str">
        <f t="shared" si="11"/>
        <v>VELAZQUEZ WYNANTS JONATHAN ALFONSO</v>
      </c>
      <c r="E59" s="88">
        <f t="shared" si="12"/>
        <v>3689.4</v>
      </c>
      <c r="F59" s="89">
        <v>1910.6</v>
      </c>
      <c r="G59" s="90">
        <f t="shared" si="13"/>
        <v>5600</v>
      </c>
      <c r="H59" s="10"/>
      <c r="I59" s="6"/>
      <c r="J59" s="10"/>
      <c r="K59" s="45"/>
      <c r="M59" s="130" t="s">
        <v>47</v>
      </c>
      <c r="N59" s="10"/>
      <c r="O59" s="10"/>
    </row>
    <row r="60" spans="1:17" ht="15" x14ac:dyDescent="0.2">
      <c r="A60" s="115">
        <v>9</v>
      </c>
      <c r="B60" s="36"/>
      <c r="C60" s="26"/>
      <c r="D60" s="87" t="str">
        <f t="shared" si="11"/>
        <v>VALDEZ LOZANO IVAN</v>
      </c>
      <c r="E60" s="88">
        <f t="shared" si="12"/>
        <v>3179.8</v>
      </c>
      <c r="F60" s="89">
        <v>1880.2</v>
      </c>
      <c r="G60" s="90">
        <f t="shared" si="13"/>
        <v>5060</v>
      </c>
      <c r="H60" s="86"/>
      <c r="I60" s="6"/>
      <c r="J60" s="10"/>
      <c r="K60" s="45"/>
      <c r="N60" s="141"/>
      <c r="O60" s="144"/>
    </row>
    <row r="61" spans="1:17" ht="15" x14ac:dyDescent="0.2">
      <c r="A61" s="116">
        <v>10</v>
      </c>
      <c r="B61" s="36"/>
      <c r="C61" s="26"/>
      <c r="D61" s="87" t="str">
        <f t="shared" si="11"/>
        <v>VILLAR GONZALEZ LUIS MARTIN</v>
      </c>
      <c r="E61" s="88">
        <f t="shared" si="12"/>
        <v>1513.8957142857143</v>
      </c>
      <c r="F61" s="89">
        <f>1660.2+289.8</f>
        <v>1950</v>
      </c>
      <c r="G61" s="90">
        <f t="shared" si="13"/>
        <v>3463.8957142857143</v>
      </c>
      <c r="H61" s="86">
        <v>250.39</v>
      </c>
      <c r="I61" s="6"/>
      <c r="J61" s="10"/>
      <c r="K61" s="45"/>
      <c r="M61" s="6" t="s">
        <v>72</v>
      </c>
      <c r="N61" s="10"/>
      <c r="O61" s="144"/>
    </row>
    <row r="62" spans="1:17" ht="15" x14ac:dyDescent="0.2">
      <c r="A62" s="115">
        <v>11</v>
      </c>
      <c r="B62" s="36"/>
      <c r="C62" s="26"/>
      <c r="D62" s="87" t="str">
        <f t="shared" si="11"/>
        <v>BORBONIO CASTAÑEDA JOSE MANUEL</v>
      </c>
      <c r="E62" s="88">
        <f t="shared" si="12"/>
        <v>1498.4</v>
      </c>
      <c r="F62" s="89">
        <v>1301.5999999999999</v>
      </c>
      <c r="G62" s="90">
        <f t="shared" si="13"/>
        <v>2800</v>
      </c>
      <c r="H62" s="86"/>
      <c r="I62" s="6"/>
      <c r="J62" s="10"/>
      <c r="K62" s="45"/>
      <c r="M62" s="6"/>
      <c r="N62" s="10"/>
      <c r="O62" s="144"/>
    </row>
    <row r="63" spans="1:17" ht="15" x14ac:dyDescent="0.2">
      <c r="A63" s="116">
        <v>12</v>
      </c>
      <c r="B63" s="36"/>
      <c r="C63" s="26"/>
      <c r="D63" s="87" t="str">
        <f t="shared" si="11"/>
        <v>MIRON LLANOS ANGEL SANTIAGO</v>
      </c>
      <c r="E63" s="88">
        <f t="shared" si="12"/>
        <v>1498.4</v>
      </c>
      <c r="F63" s="89">
        <v>1301.5999999999999</v>
      </c>
      <c r="G63" s="90">
        <f t="shared" si="13"/>
        <v>2800</v>
      </c>
      <c r="H63" s="86"/>
      <c r="I63" s="6"/>
      <c r="J63" s="10"/>
      <c r="K63" s="45"/>
      <c r="M63" s="6"/>
      <c r="N63" s="10"/>
      <c r="O63" s="144"/>
    </row>
    <row r="64" spans="1:17" ht="15" x14ac:dyDescent="0.2">
      <c r="A64" s="36"/>
      <c r="B64" s="36"/>
      <c r="C64" s="26"/>
      <c r="D64" s="108" t="s">
        <v>35</v>
      </c>
      <c r="E64" s="111">
        <f>SUM(E54:E63)</f>
        <v>31229.255714285719</v>
      </c>
      <c r="F64" s="111">
        <f>SUM(F54:F63)</f>
        <v>16110.400000000001</v>
      </c>
      <c r="G64" s="111">
        <f>SUM(G54:G63)</f>
        <v>47339.65571428572</v>
      </c>
      <c r="H64" s="86"/>
      <c r="I64" s="6"/>
      <c r="J64" s="10"/>
      <c r="K64" s="51"/>
      <c r="M64" s="6" t="s">
        <v>24</v>
      </c>
      <c r="N64" s="10"/>
      <c r="O64" s="144"/>
    </row>
    <row r="65" spans="1:14" ht="15" x14ac:dyDescent="0.2">
      <c r="A65" s="36">
        <v>13</v>
      </c>
      <c r="B65" s="36"/>
      <c r="C65" s="26"/>
      <c r="D65" s="61" t="str">
        <f>D21</f>
        <v>DOMINGUEZ VAZQUEZ JORGE ALBERTO</v>
      </c>
      <c r="E65" s="44">
        <f>G21</f>
        <v>4426.8600000000006</v>
      </c>
      <c r="F65" s="91">
        <v>4180</v>
      </c>
      <c r="G65" s="92">
        <f>L21</f>
        <v>8606.86</v>
      </c>
      <c r="H65" s="10"/>
      <c r="I65" s="6"/>
      <c r="J65" s="10"/>
      <c r="K65" s="134"/>
      <c r="L65" s="45"/>
      <c r="M65" s="6" t="s">
        <v>33</v>
      </c>
      <c r="N65" s="10"/>
    </row>
    <row r="66" spans="1:14" ht="15" x14ac:dyDescent="0.2">
      <c r="A66" s="36">
        <v>14</v>
      </c>
      <c r="B66" s="36"/>
      <c r="C66" s="26"/>
      <c r="D66" s="61" t="str">
        <f>D22</f>
        <v>MENDOZA MARTINEZ LUIS NABOR</v>
      </c>
      <c r="E66" s="44">
        <f>G22</f>
        <v>0</v>
      </c>
      <c r="F66" s="117">
        <v>3336.4</v>
      </c>
      <c r="G66" s="90">
        <f>L22</f>
        <v>3336.4000000000005</v>
      </c>
      <c r="H66" s="86">
        <v>464.92</v>
      </c>
      <c r="I66" s="6"/>
      <c r="J66" s="10"/>
      <c r="K66" s="134"/>
      <c r="L66" s="45"/>
      <c r="M66" s="130" t="s">
        <v>47</v>
      </c>
      <c r="N66" s="131"/>
    </row>
    <row r="67" spans="1:14" ht="15" x14ac:dyDescent="0.2">
      <c r="A67" s="36">
        <v>15</v>
      </c>
      <c r="B67" s="36"/>
      <c r="C67" s="26"/>
      <c r="D67" s="61" t="str">
        <f>D23</f>
        <v>GONZALEZ SILVA MARCOS DAVID</v>
      </c>
      <c r="E67" s="44">
        <f>G23</f>
        <v>1720.06</v>
      </c>
      <c r="F67" s="91">
        <v>3422.8</v>
      </c>
      <c r="G67" s="7">
        <f>L23</f>
        <v>5142.8600000000006</v>
      </c>
      <c r="H67" s="10"/>
      <c r="I67" s="6"/>
      <c r="J67" s="10"/>
      <c r="K67" s="134"/>
      <c r="L67" s="45"/>
      <c r="M67" s="133"/>
      <c r="N67" s="7"/>
    </row>
    <row r="68" spans="1:14" ht="15" x14ac:dyDescent="0.2">
      <c r="A68" s="36">
        <v>16</v>
      </c>
      <c r="B68" s="36"/>
      <c r="C68" s="26"/>
      <c r="D68" s="61" t="str">
        <f>D24</f>
        <v>BAUTISTA GARCIA JORGE</v>
      </c>
      <c r="E68" s="44">
        <f>G68-F68</f>
        <v>3447.0000000000005</v>
      </c>
      <c r="F68" s="91">
        <v>1910.6</v>
      </c>
      <c r="G68" s="7">
        <f>L24</f>
        <v>5357.6</v>
      </c>
      <c r="H68" s="10"/>
      <c r="I68" s="6"/>
      <c r="J68" s="10"/>
      <c r="K68" s="134"/>
      <c r="L68" s="45"/>
      <c r="M68" s="133"/>
      <c r="N68" s="7"/>
    </row>
    <row r="69" spans="1:14" ht="15" x14ac:dyDescent="0.2">
      <c r="A69" s="36"/>
      <c r="B69" s="36"/>
      <c r="C69" s="148"/>
      <c r="D69" s="128" t="s">
        <v>45</v>
      </c>
      <c r="E69" s="139">
        <f>SUM(E65:E68)</f>
        <v>9593.92</v>
      </c>
      <c r="F69" s="139">
        <f>SUM(F65:F68)</f>
        <v>12849.800000000001</v>
      </c>
      <c r="G69" s="139">
        <f>SUM(G65:G68)</f>
        <v>22443.72</v>
      </c>
      <c r="H69" s="10"/>
      <c r="I69" s="6"/>
      <c r="J69" s="10"/>
      <c r="K69" s="134"/>
      <c r="L69" s="45"/>
      <c r="M69" s="130"/>
      <c r="N69" s="132"/>
    </row>
    <row r="70" spans="1:14" ht="15" x14ac:dyDescent="0.2">
      <c r="A70" s="36">
        <v>17</v>
      </c>
      <c r="B70" s="36"/>
      <c r="C70" s="148"/>
      <c r="D70" s="150" t="str">
        <f t="shared" ref="D70:D90" si="14">D26</f>
        <v>LLANOS MOLINA LIBIA ZULEMA</v>
      </c>
      <c r="E70" s="118">
        <f>G70-F70</f>
        <v>1747.8999999999996</v>
      </c>
      <c r="F70" s="117">
        <v>3537.8</v>
      </c>
      <c r="G70" s="7">
        <f t="shared" ref="G70:G90" si="15">L26</f>
        <v>5285.7</v>
      </c>
      <c r="H70" s="10"/>
      <c r="I70" s="6"/>
      <c r="J70" s="10"/>
      <c r="K70" s="134"/>
      <c r="L70" s="45"/>
      <c r="M70" s="28"/>
      <c r="N70" s="2"/>
    </row>
    <row r="71" spans="1:14" ht="15" x14ac:dyDescent="0.2">
      <c r="A71" s="36">
        <v>18</v>
      </c>
      <c r="B71" s="36"/>
      <c r="C71" s="148"/>
      <c r="D71" s="150" t="str">
        <f t="shared" si="14"/>
        <v>HERRERA CARREON ROSA ISABEL</v>
      </c>
      <c r="E71" s="118">
        <f t="shared" ref="E71:E87" si="16">G71-F71</f>
        <v>1428</v>
      </c>
      <c r="F71" s="117">
        <v>4180</v>
      </c>
      <c r="G71" s="7">
        <f t="shared" si="15"/>
        <v>5608</v>
      </c>
      <c r="H71" s="10"/>
      <c r="I71" s="6"/>
      <c r="J71" s="10"/>
      <c r="K71" s="134"/>
      <c r="L71" s="45"/>
      <c r="M71" s="28"/>
      <c r="N71" s="2"/>
    </row>
    <row r="72" spans="1:14" ht="15" x14ac:dyDescent="0.2">
      <c r="A72" s="36">
        <v>19</v>
      </c>
      <c r="B72" s="36"/>
      <c r="C72" s="148"/>
      <c r="D72" s="150" t="str">
        <f t="shared" si="14"/>
        <v>RASGADO SALINAS AURELIO</v>
      </c>
      <c r="E72" s="118">
        <f>G72-F72</f>
        <v>2257.1428571428573</v>
      </c>
      <c r="F72" s="117">
        <v>2001.6</v>
      </c>
      <c r="G72" s="7">
        <f t="shared" si="15"/>
        <v>4258.7428571428572</v>
      </c>
      <c r="H72" s="10"/>
      <c r="I72" s="6"/>
      <c r="J72" s="10"/>
      <c r="K72" s="134"/>
      <c r="L72" s="45"/>
      <c r="M72" s="28"/>
      <c r="N72" s="2"/>
    </row>
    <row r="73" spans="1:14" ht="15" x14ac:dyDescent="0.2">
      <c r="A73" s="36">
        <v>20</v>
      </c>
      <c r="B73" s="36"/>
      <c r="C73" s="148"/>
      <c r="D73" s="150" t="str">
        <f t="shared" si="14"/>
        <v>MEDRANO ESPINOZA MARIO ALBERTO</v>
      </c>
      <c r="E73" s="118">
        <f>G73-F73</f>
        <v>3089.4</v>
      </c>
      <c r="F73" s="117">
        <v>1910.6</v>
      </c>
      <c r="G73" s="7">
        <f t="shared" si="15"/>
        <v>5000</v>
      </c>
      <c r="H73" s="10"/>
      <c r="I73" s="6"/>
      <c r="J73" s="10"/>
      <c r="K73" s="134"/>
      <c r="L73" s="45"/>
      <c r="M73" s="28"/>
      <c r="N73" s="2"/>
    </row>
    <row r="74" spans="1:14" ht="15" x14ac:dyDescent="0.2">
      <c r="A74" s="36">
        <v>21</v>
      </c>
      <c r="B74" s="36"/>
      <c r="C74" s="148"/>
      <c r="D74" s="152" t="str">
        <f t="shared" si="14"/>
        <v>HERNANDEZ CORDOVA LUIS ANGEL</v>
      </c>
      <c r="E74" s="118">
        <f>G74-F74</f>
        <v>1996.9299999999998</v>
      </c>
      <c r="F74" s="117">
        <v>2078.4</v>
      </c>
      <c r="G74" s="7">
        <f t="shared" si="15"/>
        <v>4075.33</v>
      </c>
      <c r="H74" s="10"/>
      <c r="I74" s="6"/>
      <c r="J74" s="10"/>
      <c r="K74" s="134"/>
      <c r="L74" s="45"/>
      <c r="M74" s="28"/>
      <c r="N74" s="2"/>
    </row>
    <row r="75" spans="1:14" ht="15" x14ac:dyDescent="0.2">
      <c r="A75" s="36">
        <v>22</v>
      </c>
      <c r="B75" s="36"/>
      <c r="C75" s="148"/>
      <c r="D75" s="151" t="str">
        <f t="shared" si="14"/>
        <v>DE LA ROSA VAZQUEZ FELIX ADRIAN</v>
      </c>
      <c r="E75" s="118">
        <f t="shared" si="16"/>
        <v>2078.2300000000005</v>
      </c>
      <c r="F75" s="117">
        <v>1685.2</v>
      </c>
      <c r="G75" s="7">
        <f t="shared" si="15"/>
        <v>3763.4300000000003</v>
      </c>
      <c r="H75" s="10"/>
      <c r="I75" s="6"/>
      <c r="J75" s="10"/>
      <c r="K75" s="134"/>
      <c r="L75" s="45"/>
      <c r="M75" s="28"/>
      <c r="N75" s="2"/>
    </row>
    <row r="76" spans="1:14" ht="15" x14ac:dyDescent="0.2">
      <c r="A76" s="36">
        <v>23</v>
      </c>
      <c r="B76" s="36"/>
      <c r="C76" s="148"/>
      <c r="D76" s="152" t="str">
        <f t="shared" si="14"/>
        <v>CRUZ LOPEZ NELSON</v>
      </c>
      <c r="E76" s="118">
        <f t="shared" si="16"/>
        <v>4173.3</v>
      </c>
      <c r="F76" s="117">
        <v>839.8</v>
      </c>
      <c r="G76" s="7">
        <f t="shared" si="15"/>
        <v>5013.1000000000004</v>
      </c>
      <c r="H76" s="10">
        <v>1070.9000000000001</v>
      </c>
      <c r="I76" s="6"/>
      <c r="J76" s="10"/>
      <c r="K76" s="134"/>
      <c r="L76" s="45"/>
      <c r="M76" s="28"/>
      <c r="N76" s="2"/>
    </row>
    <row r="77" spans="1:14" ht="15" x14ac:dyDescent="0.2">
      <c r="A77" s="36">
        <v>24</v>
      </c>
      <c r="B77" s="36"/>
      <c r="C77" s="178" t="s">
        <v>86</v>
      </c>
      <c r="D77" s="151" t="str">
        <f t="shared" si="14"/>
        <v>BECERRA RODRIGUEZ JOSE ARMANDO</v>
      </c>
      <c r="E77" s="118">
        <f t="shared" si="16"/>
        <v>6959.1100000000006</v>
      </c>
      <c r="F77" s="117">
        <v>1910.6</v>
      </c>
      <c r="G77" s="7">
        <f t="shared" si="15"/>
        <v>8869.7100000000009</v>
      </c>
      <c r="H77" s="10"/>
      <c r="I77" s="6"/>
      <c r="J77" s="10"/>
      <c r="K77" s="134"/>
      <c r="L77" s="45"/>
      <c r="M77" s="28"/>
      <c r="N77" s="2"/>
    </row>
    <row r="78" spans="1:14" ht="15" x14ac:dyDescent="0.2">
      <c r="A78" s="36">
        <v>25</v>
      </c>
      <c r="B78" s="36"/>
      <c r="C78" s="178" t="s">
        <v>87</v>
      </c>
      <c r="D78" s="151" t="str">
        <f t="shared" si="14"/>
        <v>AGUILAR PINEDA JORGE</v>
      </c>
      <c r="E78" s="118">
        <f t="shared" si="16"/>
        <v>6387.6900000000005</v>
      </c>
      <c r="F78" s="117">
        <v>1910.6</v>
      </c>
      <c r="G78" s="7">
        <f t="shared" si="15"/>
        <v>8298.2900000000009</v>
      </c>
      <c r="H78" s="10"/>
      <c r="I78" s="6"/>
      <c r="J78" s="10"/>
      <c r="K78" s="134"/>
      <c r="L78" s="45"/>
      <c r="M78" s="28"/>
      <c r="N78" s="2"/>
    </row>
    <row r="79" spans="1:14" ht="15" x14ac:dyDescent="0.2">
      <c r="A79" s="36">
        <v>26</v>
      </c>
      <c r="B79" s="36"/>
      <c r="C79" s="178" t="s">
        <v>88</v>
      </c>
      <c r="D79" s="151" t="str">
        <f t="shared" si="14"/>
        <v>ALVARADO MARTINEZ MIGUEL AILTON</v>
      </c>
      <c r="E79" s="118">
        <f t="shared" si="16"/>
        <v>6387.6900000000005</v>
      </c>
      <c r="F79" s="117">
        <v>1910.6</v>
      </c>
      <c r="G79" s="7">
        <f t="shared" si="15"/>
        <v>8298.2900000000009</v>
      </c>
      <c r="H79" s="10"/>
      <c r="I79" s="6"/>
      <c r="J79" s="10"/>
      <c r="K79" s="134"/>
      <c r="L79" s="45"/>
      <c r="M79" s="28"/>
      <c r="N79" s="2"/>
    </row>
    <row r="80" spans="1:14" ht="15" x14ac:dyDescent="0.2">
      <c r="A80" s="36">
        <v>27</v>
      </c>
      <c r="B80" s="36"/>
      <c r="C80" s="148"/>
      <c r="D80" s="152" t="str">
        <f t="shared" si="14"/>
        <v>RODRIGUEZ VILLATORO CLEYBER</v>
      </c>
      <c r="E80" s="118">
        <f t="shared" si="16"/>
        <v>1545.73</v>
      </c>
      <c r="F80" s="117">
        <v>2087.6</v>
      </c>
      <c r="G80" s="7">
        <f t="shared" si="15"/>
        <v>3633.33</v>
      </c>
      <c r="H80" s="10"/>
      <c r="I80" s="6"/>
      <c r="J80" s="10"/>
      <c r="K80" s="134"/>
      <c r="L80" s="45"/>
      <c r="M80" s="28"/>
      <c r="N80" s="2"/>
    </row>
    <row r="81" spans="1:14" ht="15" x14ac:dyDescent="0.2">
      <c r="A81" s="36">
        <v>28</v>
      </c>
      <c r="B81" s="36"/>
      <c r="C81" s="148"/>
      <c r="D81" s="152" t="str">
        <f t="shared" si="14"/>
        <v>MONTANO GARCIA KENAY</v>
      </c>
      <c r="E81" s="118">
        <f t="shared" si="16"/>
        <v>3613.2</v>
      </c>
      <c r="F81" s="117">
        <v>3041.8</v>
      </c>
      <c r="G81" s="7">
        <f t="shared" si="15"/>
        <v>6655</v>
      </c>
      <c r="H81" s="10"/>
      <c r="I81" s="6"/>
      <c r="J81" s="10"/>
      <c r="K81" s="134"/>
      <c r="L81" s="45"/>
      <c r="M81" s="28"/>
      <c r="N81" s="2"/>
    </row>
    <row r="82" spans="1:14" ht="15" x14ac:dyDescent="0.2">
      <c r="A82" s="36">
        <v>29</v>
      </c>
      <c r="B82" s="36"/>
      <c r="C82" s="148"/>
      <c r="D82" s="152" t="str">
        <f t="shared" si="14"/>
        <v>MONTANO SOSA BRAYAN DANIEL</v>
      </c>
      <c r="E82" s="118">
        <f t="shared" si="16"/>
        <v>0</v>
      </c>
      <c r="F82" s="117">
        <v>800</v>
      </c>
      <c r="G82" s="7">
        <f t="shared" si="15"/>
        <v>800</v>
      </c>
      <c r="H82" s="10"/>
      <c r="I82" s="6"/>
      <c r="J82" s="10">
        <v>320.2</v>
      </c>
      <c r="K82" s="134"/>
      <c r="L82" s="45"/>
      <c r="M82" s="28"/>
      <c r="N82" s="2"/>
    </row>
    <row r="83" spans="1:14" ht="14.25" customHeight="1" x14ac:dyDescent="0.2">
      <c r="A83" s="36">
        <v>30</v>
      </c>
      <c r="B83" s="36"/>
      <c r="C83" s="148"/>
      <c r="D83" s="152" t="str">
        <f t="shared" si="14"/>
        <v>MENDEZ ROMERO CRISTHIAN</v>
      </c>
      <c r="E83" s="118">
        <f t="shared" si="16"/>
        <v>5315.3600000000006</v>
      </c>
      <c r="F83" s="117">
        <v>1393.6</v>
      </c>
      <c r="G83" s="7">
        <f t="shared" si="15"/>
        <v>6708.9600000000009</v>
      </c>
      <c r="H83" s="10">
        <v>517.04</v>
      </c>
      <c r="I83" s="6"/>
      <c r="J83" s="10"/>
      <c r="K83" s="134"/>
      <c r="L83" s="45"/>
      <c r="M83" s="28"/>
      <c r="N83" s="2"/>
    </row>
    <row r="84" spans="1:14" ht="15" x14ac:dyDescent="0.2">
      <c r="A84" s="36">
        <v>31</v>
      </c>
      <c r="B84" s="36"/>
      <c r="C84" s="148"/>
      <c r="D84" s="152" t="str">
        <f t="shared" si="14"/>
        <v>MARTINEZ VARGAS MARGARITO</v>
      </c>
      <c r="E84" s="118">
        <f t="shared" si="16"/>
        <v>4173.3999999999996</v>
      </c>
      <c r="F84" s="117">
        <v>1910.6</v>
      </c>
      <c r="G84" s="7">
        <f t="shared" si="15"/>
        <v>6084</v>
      </c>
      <c r="H84" s="10"/>
      <c r="I84" s="6"/>
      <c r="J84" s="10"/>
      <c r="K84" s="134"/>
      <c r="L84" s="45"/>
      <c r="M84" s="28"/>
      <c r="N84" s="2"/>
    </row>
    <row r="85" spans="1:14" ht="15" x14ac:dyDescent="0.2">
      <c r="A85" s="36">
        <v>32</v>
      </c>
      <c r="B85" s="36"/>
      <c r="C85" s="148"/>
      <c r="D85" s="152" t="str">
        <f t="shared" si="14"/>
        <v>ALVARADO MARTINEZ FELIPE</v>
      </c>
      <c r="E85" s="118">
        <f t="shared" si="16"/>
        <v>4602.3999999999996</v>
      </c>
      <c r="F85" s="117">
        <v>1910.6</v>
      </c>
      <c r="G85" s="7">
        <f t="shared" si="15"/>
        <v>6513</v>
      </c>
      <c r="H85" s="10"/>
      <c r="I85" s="6"/>
      <c r="J85" s="10"/>
      <c r="K85" s="134"/>
      <c r="L85" s="45"/>
      <c r="M85" s="28"/>
      <c r="N85" s="2"/>
    </row>
    <row r="86" spans="1:14" ht="15" x14ac:dyDescent="0.2">
      <c r="A86" s="36">
        <v>33</v>
      </c>
      <c r="B86" s="36"/>
      <c r="C86" s="148"/>
      <c r="D86" s="151" t="str">
        <f t="shared" si="14"/>
        <v>CASTILLO MARTINEZ LEOBARDO JOVANNY</v>
      </c>
      <c r="E86" s="118">
        <f t="shared" si="16"/>
        <v>5245.6900000000005</v>
      </c>
      <c r="F86" s="117">
        <v>1910.6</v>
      </c>
      <c r="G86" s="7">
        <f t="shared" si="15"/>
        <v>7156.2900000000009</v>
      </c>
      <c r="H86" s="10"/>
      <c r="I86" s="6"/>
      <c r="J86" s="10"/>
      <c r="K86" s="134"/>
      <c r="L86" s="45"/>
      <c r="M86" s="28"/>
      <c r="N86" s="2"/>
    </row>
    <row r="87" spans="1:14" ht="15" x14ac:dyDescent="0.2">
      <c r="A87" s="36">
        <v>34</v>
      </c>
      <c r="B87" s="36"/>
      <c r="C87" s="148"/>
      <c r="D87" s="151" t="str">
        <f t="shared" si="14"/>
        <v>GAYTAN MORIN ROBERTO CARLOS</v>
      </c>
      <c r="E87" s="118">
        <f t="shared" si="16"/>
        <v>2389.4</v>
      </c>
      <c r="F87" s="179">
        <v>1910.6</v>
      </c>
      <c r="G87" s="7">
        <f t="shared" si="15"/>
        <v>4300</v>
      </c>
      <c r="H87" s="10"/>
      <c r="I87" s="6"/>
      <c r="J87" s="10"/>
      <c r="K87" s="134"/>
      <c r="L87" s="45"/>
      <c r="M87" s="28"/>
      <c r="N87" s="2"/>
    </row>
    <row r="88" spans="1:14" ht="15" x14ac:dyDescent="0.2">
      <c r="A88" s="36">
        <v>35</v>
      </c>
      <c r="B88" s="36"/>
      <c r="C88" s="148"/>
      <c r="D88" s="152" t="str">
        <f t="shared" si="14"/>
        <v>VAZQUEZ CRUZ JOSE ANTONIO</v>
      </c>
      <c r="E88" s="118">
        <f>G88-F88</f>
        <v>498.40000000000009</v>
      </c>
      <c r="F88" s="179">
        <v>1301.5999999999999</v>
      </c>
      <c r="G88" s="7">
        <f t="shared" si="15"/>
        <v>1800</v>
      </c>
      <c r="H88" s="10"/>
      <c r="I88" s="6"/>
      <c r="J88" s="10"/>
      <c r="K88" s="134"/>
      <c r="L88" s="45"/>
      <c r="M88" s="28"/>
      <c r="N88" s="2"/>
    </row>
    <row r="89" spans="1:14" ht="15" x14ac:dyDescent="0.2">
      <c r="A89" s="36"/>
      <c r="B89" s="36"/>
      <c r="C89" s="148"/>
      <c r="D89" s="151" t="str">
        <f t="shared" si="14"/>
        <v>ROMERO GARCIA OSCAR</v>
      </c>
      <c r="E89" s="153">
        <f>G89-F89</f>
        <v>1078.0857142857142</v>
      </c>
      <c r="F89" s="154">
        <v>636.20000000000005</v>
      </c>
      <c r="G89" s="155">
        <f t="shared" si="15"/>
        <v>1714.2857142857142</v>
      </c>
      <c r="H89" s="156"/>
      <c r="I89" s="157"/>
      <c r="J89" s="156"/>
      <c r="K89" s="134"/>
      <c r="L89" s="45"/>
      <c r="M89" s="28"/>
      <c r="N89" s="2"/>
    </row>
    <row r="90" spans="1:14" ht="15" x14ac:dyDescent="0.2">
      <c r="A90" s="36"/>
      <c r="B90" s="36"/>
      <c r="C90" s="148"/>
      <c r="D90" s="151" t="str">
        <f t="shared" si="14"/>
        <v>CASTRO RIVASA ELIGIO ANTONIO</v>
      </c>
      <c r="E90" s="153">
        <f>G90-F90</f>
        <v>1078.0857142857142</v>
      </c>
      <c r="F90" s="154">
        <v>636.20000000000005</v>
      </c>
      <c r="G90" s="155">
        <f t="shared" si="15"/>
        <v>1714.2857142857142</v>
      </c>
      <c r="H90" s="156"/>
      <c r="I90" s="157"/>
      <c r="J90" s="156"/>
      <c r="K90" s="134"/>
      <c r="L90" s="45"/>
      <c r="M90" s="28"/>
      <c r="N90" s="2"/>
    </row>
    <row r="91" spans="1:14" x14ac:dyDescent="0.2">
      <c r="A91" s="36"/>
      <c r="B91" s="36"/>
      <c r="C91" s="148"/>
      <c r="D91" s="109" t="s">
        <v>37</v>
      </c>
      <c r="E91" s="112">
        <f>SUM(E70:E88)</f>
        <v>63888.972857142871</v>
      </c>
      <c r="F91" s="112">
        <f>SUM(F70:F88)</f>
        <v>38232.19999999999</v>
      </c>
      <c r="G91" s="112">
        <f>SUM(G70:G88)</f>
        <v>102121.17285714287</v>
      </c>
      <c r="H91" s="17"/>
      <c r="J91" s="17"/>
      <c r="K91" s="51"/>
      <c r="M91" s="28"/>
      <c r="N91" s="2"/>
    </row>
    <row r="92" spans="1:14" x14ac:dyDescent="0.2">
      <c r="A92" s="36"/>
      <c r="B92" s="36"/>
      <c r="D92" s="146" t="s">
        <v>36</v>
      </c>
      <c r="E92" s="147">
        <f>E53+E64+E69+E91</f>
        <v>105601.73857142859</v>
      </c>
      <c r="F92" s="147">
        <f>F53+F64+F69+F91</f>
        <v>70334</v>
      </c>
      <c r="G92" s="147">
        <f>G53+G64+G69+G91</f>
        <v>175935.73857142858</v>
      </c>
      <c r="H92" s="53"/>
      <c r="I92" s="53"/>
      <c r="M92" s="28"/>
      <c r="N92" s="2"/>
    </row>
    <row r="93" spans="1:14" ht="15" x14ac:dyDescent="0.2">
      <c r="A93" s="36"/>
      <c r="B93" s="36"/>
      <c r="E93" s="14"/>
      <c r="F93" s="14"/>
      <c r="G93" s="46"/>
      <c r="H93" s="17"/>
      <c r="I93" s="27"/>
      <c r="M93" s="2"/>
      <c r="N93" s="2"/>
    </row>
    <row r="94" spans="1:14" x14ac:dyDescent="0.2">
      <c r="A94" s="36"/>
      <c r="E94" s="35"/>
      <c r="F94" s="35">
        <v>1685.2</v>
      </c>
      <c r="G94" s="35"/>
      <c r="H94" s="20"/>
      <c r="I94" s="20"/>
      <c r="K94" s="20"/>
      <c r="M94" s="2"/>
      <c r="N94" s="2"/>
    </row>
    <row r="95" spans="1:14" x14ac:dyDescent="0.2">
      <c r="A95" s="36"/>
      <c r="D95" s="158" t="s">
        <v>12</v>
      </c>
      <c r="E95" s="32"/>
      <c r="F95" s="13">
        <v>800</v>
      </c>
      <c r="G95" s="32"/>
      <c r="M95" s="45"/>
      <c r="N95" s="2"/>
    </row>
    <row r="96" spans="1:14" x14ac:dyDescent="0.2">
      <c r="D96" s="59" t="s">
        <v>16</v>
      </c>
      <c r="F96" s="45">
        <f>+F88+F87+F86+F85+F84+F83+F81+F80+F79+F78+F77+F76+F74+F73+F72+F71+F70+F68+F67+F66+F65+F63+F62+F61+F60+F59+F58+F57++F56+F55+F54+F52+F51</f>
        <v>67848.799999999988</v>
      </c>
      <c r="H96" s="23"/>
      <c r="M96" s="45"/>
      <c r="N96" s="2"/>
    </row>
    <row r="97" spans="4:14" x14ac:dyDescent="0.2">
      <c r="D97" s="42" t="s">
        <v>16</v>
      </c>
      <c r="F97" s="13">
        <f>SUM(F94:F96)</f>
        <v>70333.999999999985</v>
      </c>
      <c r="H97" s="23"/>
      <c r="M97" s="45"/>
      <c r="N97" s="2"/>
    </row>
    <row r="98" spans="4:14" x14ac:dyDescent="0.2">
      <c r="D98" s="30" t="s">
        <v>60</v>
      </c>
      <c r="E98" s="17"/>
      <c r="M98" s="2"/>
    </row>
    <row r="99" spans="4:14" x14ac:dyDescent="0.2">
      <c r="E99" s="16"/>
    </row>
    <row r="100" spans="4:14" x14ac:dyDescent="0.2">
      <c r="E100" s="16"/>
      <c r="M100" s="25"/>
    </row>
    <row r="101" spans="4:14" x14ac:dyDescent="0.2">
      <c r="E101" s="16"/>
    </row>
    <row r="102" spans="4:14" x14ac:dyDescent="0.2">
      <c r="E102" s="16"/>
    </row>
    <row r="103" spans="4:14" x14ac:dyDescent="0.2">
      <c r="E103" s="16"/>
    </row>
    <row r="104" spans="4:14" x14ac:dyDescent="0.2">
      <c r="E104" s="16"/>
    </row>
    <row r="105" spans="4:14" x14ac:dyDescent="0.2">
      <c r="E105" s="16"/>
    </row>
    <row r="106" spans="4:14" x14ac:dyDescent="0.2">
      <c r="E106" s="16"/>
    </row>
    <row r="107" spans="4:14" x14ac:dyDescent="0.2">
      <c r="E107" s="16"/>
    </row>
    <row r="108" spans="4:14" x14ac:dyDescent="0.2">
      <c r="E108" s="16"/>
    </row>
    <row r="109" spans="4:14" x14ac:dyDescent="0.2">
      <c r="E109" s="16"/>
    </row>
    <row r="110" spans="4:14" x14ac:dyDescent="0.2">
      <c r="E110" s="16"/>
    </row>
    <row r="111" spans="4:14" x14ac:dyDescent="0.2">
      <c r="E111" s="16"/>
    </row>
    <row r="112" spans="4:14" x14ac:dyDescent="0.2">
      <c r="E112" s="16"/>
    </row>
    <row r="113" spans="5:5" x14ac:dyDescent="0.2">
      <c r="E113" s="16"/>
    </row>
    <row r="114" spans="5:5" x14ac:dyDescent="0.2">
      <c r="E114" s="16"/>
    </row>
    <row r="115" spans="5:5" x14ac:dyDescent="0.2">
      <c r="E115" s="16"/>
    </row>
    <row r="116" spans="5:5" x14ac:dyDescent="0.2">
      <c r="E116" s="16"/>
    </row>
    <row r="117" spans="5:5" x14ac:dyDescent="0.2">
      <c r="E117" s="16"/>
    </row>
    <row r="118" spans="5:5" x14ac:dyDescent="0.2">
      <c r="E118" s="16"/>
    </row>
    <row r="119" spans="5:5" x14ac:dyDescent="0.2">
      <c r="E119" s="16"/>
    </row>
  </sheetData>
  <mergeCells count="5">
    <mergeCell ref="C1:L1"/>
    <mergeCell ref="D3:I3"/>
    <mergeCell ref="D49:H49"/>
    <mergeCell ref="O4:R4"/>
    <mergeCell ref="O51:Q51"/>
  </mergeCells>
  <phoneticPr fontId="0" type="noConversion"/>
  <pageMargins left="0.74803149606299213" right="0.74803149606299213" top="0.59055118110236227" bottom="0.59055118110236227" header="0" footer="0"/>
  <pageSetup scale="25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495A0-2101-4508-81B4-201913CE1C2E}">
  <dimension ref="A1:M40"/>
  <sheetViews>
    <sheetView showGridLines="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M40"/>
    </sheetView>
  </sheetViews>
  <sheetFormatPr baseColWidth="10" defaultRowHeight="12.75" x14ac:dyDescent="0.2"/>
  <cols>
    <col min="1" max="1" width="39.85546875" style="163" customWidth="1"/>
    <col min="2" max="2" width="13.85546875" style="164" bestFit="1" customWidth="1"/>
    <col min="3" max="11" width="11.42578125" style="163"/>
    <col min="12" max="12" width="14.42578125" style="163" customWidth="1"/>
    <col min="13" max="16384" width="11.42578125" style="163"/>
  </cols>
  <sheetData>
    <row r="1" spans="1:13" x14ac:dyDescent="0.2">
      <c r="B1" s="164" t="s">
        <v>8</v>
      </c>
      <c r="C1" s="161">
        <v>500</v>
      </c>
      <c r="D1" s="161">
        <v>200</v>
      </c>
      <c r="E1" s="161">
        <v>100</v>
      </c>
      <c r="F1" s="161">
        <v>50</v>
      </c>
      <c r="G1" s="161">
        <v>20</v>
      </c>
      <c r="H1" s="161">
        <v>10</v>
      </c>
      <c r="I1" s="161">
        <v>5</v>
      </c>
      <c r="J1" s="161">
        <v>2</v>
      </c>
      <c r="K1" s="161">
        <v>1</v>
      </c>
      <c r="L1" s="159"/>
      <c r="M1" s="169" t="s">
        <v>85</v>
      </c>
    </row>
    <row r="2" spans="1:13" x14ac:dyDescent="0.2">
      <c r="A2" s="172" t="s">
        <v>38</v>
      </c>
      <c r="B2" s="173">
        <v>0</v>
      </c>
      <c r="C2" s="160"/>
      <c r="D2" s="160"/>
      <c r="E2" s="160"/>
      <c r="F2" s="160"/>
      <c r="G2" s="160"/>
      <c r="H2" s="160"/>
      <c r="I2" s="160"/>
      <c r="J2" s="160"/>
      <c r="K2" s="160"/>
      <c r="L2" s="162">
        <f>C2*$C$1+D2*$D$1+E2*$E$1+F2*$F$1+G2*$G$1+H2*$H$1+I2*$I$1+J2*$J$1+K2*$K$1</f>
        <v>0</v>
      </c>
      <c r="M2" s="170">
        <f>B2-L2</f>
        <v>0</v>
      </c>
    </row>
    <row r="3" spans="1:13" x14ac:dyDescent="0.2">
      <c r="A3" s="174" t="s">
        <v>39</v>
      </c>
      <c r="B3" s="175">
        <v>889.58999999999992</v>
      </c>
      <c r="C3" s="160">
        <v>1</v>
      </c>
      <c r="D3" s="160">
        <v>1</v>
      </c>
      <c r="E3" s="160">
        <v>1</v>
      </c>
      <c r="F3" s="160">
        <v>1</v>
      </c>
      <c r="G3" s="160">
        <v>1</v>
      </c>
      <c r="H3" s="160">
        <v>1</v>
      </c>
      <c r="I3" s="160">
        <v>1</v>
      </c>
      <c r="J3" s="160">
        <v>2</v>
      </c>
      <c r="K3" s="160"/>
      <c r="L3" s="162">
        <f t="shared" ref="L3:L40" si="0">C3*$C$1+D3*$D$1+E3*$E$1+F3*$F$1+G3*$G$1+H3*$H$1+I3*$I$1+J3*$J$1+K3*$K$1</f>
        <v>889</v>
      </c>
      <c r="M3" s="170">
        <f t="shared" ref="M3:M40" si="1">B3-L3</f>
        <v>0.58999999999991815</v>
      </c>
    </row>
    <row r="4" spans="1:13" x14ac:dyDescent="0.2">
      <c r="A4" s="174"/>
      <c r="B4" s="175"/>
      <c r="C4" s="160"/>
      <c r="D4" s="160"/>
      <c r="E4" s="160"/>
      <c r="F4" s="160"/>
      <c r="G4" s="160"/>
      <c r="H4" s="160"/>
      <c r="I4" s="160"/>
      <c r="J4" s="160"/>
      <c r="K4" s="160"/>
      <c r="L4" s="162"/>
      <c r="M4" s="170"/>
    </row>
    <row r="5" spans="1:13" x14ac:dyDescent="0.2">
      <c r="A5" s="174" t="s">
        <v>19</v>
      </c>
      <c r="B5" s="175">
        <v>2239.8000000000002</v>
      </c>
      <c r="C5" s="160">
        <v>4</v>
      </c>
      <c r="D5" s="160">
        <v>1</v>
      </c>
      <c r="E5" s="160"/>
      <c r="F5" s="160"/>
      <c r="G5" s="160">
        <v>1</v>
      </c>
      <c r="H5" s="160">
        <v>1</v>
      </c>
      <c r="I5" s="160">
        <v>1</v>
      </c>
      <c r="J5" s="160">
        <v>2</v>
      </c>
      <c r="K5" s="160"/>
      <c r="L5" s="162">
        <f t="shared" si="0"/>
        <v>2239</v>
      </c>
      <c r="M5" s="170">
        <f t="shared" si="1"/>
        <v>0.8000000000001819</v>
      </c>
    </row>
    <row r="6" spans="1:13" x14ac:dyDescent="0.2">
      <c r="A6" s="174" t="s">
        <v>20</v>
      </c>
      <c r="B6" s="175">
        <v>5395.06</v>
      </c>
      <c r="C6" s="160">
        <v>10</v>
      </c>
      <c r="D6" s="160">
        <v>1</v>
      </c>
      <c r="E6" s="160">
        <v>1</v>
      </c>
      <c r="F6" s="160">
        <v>1</v>
      </c>
      <c r="G6" s="160">
        <v>2</v>
      </c>
      <c r="H6" s="160"/>
      <c r="I6" s="160">
        <v>1</v>
      </c>
      <c r="J6" s="160"/>
      <c r="K6" s="160"/>
      <c r="L6" s="162">
        <f t="shared" si="0"/>
        <v>5395</v>
      </c>
      <c r="M6" s="170">
        <f t="shared" si="1"/>
        <v>6.0000000000400178E-2</v>
      </c>
    </row>
    <row r="7" spans="1:13" x14ac:dyDescent="0.2">
      <c r="A7" s="174" t="s">
        <v>21</v>
      </c>
      <c r="B7" s="175">
        <v>4239.6400000000003</v>
      </c>
      <c r="C7" s="160">
        <v>8</v>
      </c>
      <c r="D7" s="160">
        <v>1</v>
      </c>
      <c r="E7" s="160"/>
      <c r="F7" s="160"/>
      <c r="G7" s="160">
        <v>1</v>
      </c>
      <c r="H7" s="160">
        <v>1</v>
      </c>
      <c r="I7" s="160">
        <v>1</v>
      </c>
      <c r="J7" s="160">
        <v>2</v>
      </c>
      <c r="K7" s="160"/>
      <c r="L7" s="162">
        <f t="shared" si="0"/>
        <v>4239</v>
      </c>
      <c r="M7" s="170">
        <f t="shared" si="1"/>
        <v>0.64000000000032742</v>
      </c>
    </row>
    <row r="8" spans="1:13" x14ac:dyDescent="0.2">
      <c r="A8" s="174" t="s">
        <v>26</v>
      </c>
      <c r="B8" s="175">
        <v>2819.8</v>
      </c>
      <c r="C8" s="160">
        <v>5</v>
      </c>
      <c r="D8" s="160">
        <v>1</v>
      </c>
      <c r="E8" s="160">
        <v>1</v>
      </c>
      <c r="F8" s="160"/>
      <c r="G8" s="160"/>
      <c r="H8" s="160">
        <v>1</v>
      </c>
      <c r="I8" s="160">
        <v>1</v>
      </c>
      <c r="J8" s="160">
        <v>2</v>
      </c>
      <c r="K8" s="160"/>
      <c r="L8" s="162">
        <f t="shared" si="0"/>
        <v>2819</v>
      </c>
      <c r="M8" s="170">
        <f t="shared" si="1"/>
        <v>0.8000000000001819</v>
      </c>
    </row>
    <row r="9" spans="1:13" x14ac:dyDescent="0.2">
      <c r="A9" s="174" t="s">
        <v>32</v>
      </c>
      <c r="B9" s="175">
        <v>5155.0600000000004</v>
      </c>
      <c r="C9" s="160">
        <v>10</v>
      </c>
      <c r="D9" s="160"/>
      <c r="E9" s="160">
        <v>1</v>
      </c>
      <c r="F9" s="160">
        <v>1</v>
      </c>
      <c r="G9" s="160"/>
      <c r="H9" s="160"/>
      <c r="I9" s="160">
        <v>1</v>
      </c>
      <c r="J9" s="160"/>
      <c r="K9" s="160"/>
      <c r="L9" s="162">
        <f t="shared" si="0"/>
        <v>5155</v>
      </c>
      <c r="M9" s="170">
        <f t="shared" si="1"/>
        <v>6.0000000000400178E-2</v>
      </c>
    </row>
    <row r="10" spans="1:13" x14ac:dyDescent="0.2">
      <c r="A10" s="174" t="s">
        <v>52</v>
      </c>
      <c r="B10" s="175">
        <v>3689.4</v>
      </c>
      <c r="C10" s="160">
        <v>7</v>
      </c>
      <c r="D10" s="160"/>
      <c r="E10" s="160">
        <v>1</v>
      </c>
      <c r="F10" s="160">
        <v>1</v>
      </c>
      <c r="G10" s="160">
        <v>1</v>
      </c>
      <c r="H10" s="160">
        <v>1</v>
      </c>
      <c r="I10" s="160">
        <v>1</v>
      </c>
      <c r="J10" s="160">
        <v>2</v>
      </c>
      <c r="K10" s="160"/>
      <c r="L10" s="162">
        <f t="shared" si="0"/>
        <v>3689</v>
      </c>
      <c r="M10" s="170">
        <f t="shared" si="1"/>
        <v>0.40000000000009095</v>
      </c>
    </row>
    <row r="11" spans="1:13" x14ac:dyDescent="0.2">
      <c r="A11" s="174" t="s">
        <v>51</v>
      </c>
      <c r="B11" s="175">
        <v>3179.8</v>
      </c>
      <c r="C11" s="160">
        <v>6</v>
      </c>
      <c r="D11" s="160"/>
      <c r="E11" s="160">
        <v>1</v>
      </c>
      <c r="F11" s="160">
        <v>1</v>
      </c>
      <c r="G11" s="160">
        <v>1</v>
      </c>
      <c r="H11" s="160"/>
      <c r="I11" s="160">
        <v>1</v>
      </c>
      <c r="J11" s="160">
        <v>2</v>
      </c>
      <c r="K11" s="160"/>
      <c r="L11" s="162">
        <f t="shared" si="0"/>
        <v>3179</v>
      </c>
      <c r="M11" s="170">
        <f t="shared" si="1"/>
        <v>0.8000000000001819</v>
      </c>
    </row>
    <row r="12" spans="1:13" x14ac:dyDescent="0.2">
      <c r="A12" s="174" t="s">
        <v>73</v>
      </c>
      <c r="B12" s="175">
        <v>1513.8957142857143</v>
      </c>
      <c r="C12" s="160">
        <v>3</v>
      </c>
      <c r="D12" s="160"/>
      <c r="E12" s="160"/>
      <c r="F12" s="160"/>
      <c r="G12" s="160"/>
      <c r="H12" s="160">
        <v>1</v>
      </c>
      <c r="I12" s="160"/>
      <c r="J12" s="160"/>
      <c r="K12" s="160">
        <v>3</v>
      </c>
      <c r="L12" s="162">
        <f t="shared" si="0"/>
        <v>1513</v>
      </c>
      <c r="M12" s="170">
        <f t="shared" si="1"/>
        <v>0.89571428571434808</v>
      </c>
    </row>
    <row r="13" spans="1:13" x14ac:dyDescent="0.2">
      <c r="A13" s="174" t="s">
        <v>80</v>
      </c>
      <c r="B13" s="175">
        <v>1498.4</v>
      </c>
      <c r="C13" s="160">
        <v>2</v>
      </c>
      <c r="D13" s="160">
        <v>2</v>
      </c>
      <c r="E13" s="160"/>
      <c r="F13" s="160">
        <v>1</v>
      </c>
      <c r="G13" s="160">
        <v>2</v>
      </c>
      <c r="H13" s="160"/>
      <c r="I13" s="160">
        <v>1</v>
      </c>
      <c r="J13" s="160">
        <v>1</v>
      </c>
      <c r="K13" s="160">
        <v>1</v>
      </c>
      <c r="L13" s="162">
        <f t="shared" si="0"/>
        <v>1498</v>
      </c>
      <c r="M13" s="170">
        <f t="shared" si="1"/>
        <v>0.40000000000009095</v>
      </c>
    </row>
    <row r="14" spans="1:13" x14ac:dyDescent="0.2">
      <c r="A14" s="174" t="s">
        <v>81</v>
      </c>
      <c r="B14" s="175">
        <v>1498.4</v>
      </c>
      <c r="C14" s="160">
        <v>2</v>
      </c>
      <c r="D14" s="160">
        <v>2</v>
      </c>
      <c r="E14" s="160"/>
      <c r="F14" s="160">
        <v>1</v>
      </c>
      <c r="G14" s="160">
        <v>2</v>
      </c>
      <c r="H14" s="160"/>
      <c r="I14" s="160">
        <v>1</v>
      </c>
      <c r="J14" s="160">
        <v>1</v>
      </c>
      <c r="K14" s="160">
        <v>1</v>
      </c>
      <c r="L14" s="162">
        <f t="shared" si="0"/>
        <v>1498</v>
      </c>
      <c r="M14" s="170">
        <f t="shared" si="1"/>
        <v>0.40000000000009095</v>
      </c>
    </row>
    <row r="15" spans="1:13" x14ac:dyDescent="0.2">
      <c r="A15" s="174"/>
      <c r="B15" s="175"/>
      <c r="C15" s="160"/>
      <c r="D15" s="160"/>
      <c r="E15" s="160"/>
      <c r="F15" s="160"/>
      <c r="G15" s="160"/>
      <c r="H15" s="160"/>
      <c r="I15" s="160"/>
      <c r="J15" s="160"/>
      <c r="K15" s="160"/>
      <c r="L15" s="162"/>
      <c r="M15" s="170"/>
    </row>
    <row r="16" spans="1:13" x14ac:dyDescent="0.2">
      <c r="A16" s="174" t="s">
        <v>34</v>
      </c>
      <c r="B16" s="175">
        <v>4426.8600000000006</v>
      </c>
      <c r="C16" s="160">
        <v>8</v>
      </c>
      <c r="D16" s="160">
        <v>2</v>
      </c>
      <c r="E16" s="160"/>
      <c r="F16" s="160"/>
      <c r="G16" s="160">
        <v>1</v>
      </c>
      <c r="H16" s="160"/>
      <c r="I16" s="160">
        <v>1</v>
      </c>
      <c r="J16" s="160"/>
      <c r="K16" s="160">
        <v>1</v>
      </c>
      <c r="L16" s="162">
        <f t="shared" si="0"/>
        <v>4426</v>
      </c>
      <c r="M16" s="170">
        <f t="shared" si="1"/>
        <v>0.86000000000058208</v>
      </c>
    </row>
    <row r="17" spans="1:13" x14ac:dyDescent="0.2">
      <c r="A17" s="174" t="s">
        <v>28</v>
      </c>
      <c r="B17" s="175">
        <v>0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2">
        <f t="shared" si="0"/>
        <v>0</v>
      </c>
      <c r="M17" s="170">
        <f t="shared" si="1"/>
        <v>0</v>
      </c>
    </row>
    <row r="18" spans="1:13" x14ac:dyDescent="0.2">
      <c r="A18" s="174" t="s">
        <v>41</v>
      </c>
      <c r="B18" s="175">
        <v>1720.06</v>
      </c>
      <c r="C18" s="160">
        <v>3</v>
      </c>
      <c r="D18" s="160">
        <v>1</v>
      </c>
      <c r="E18" s="160"/>
      <c r="F18" s="160"/>
      <c r="G18" s="160">
        <v>1</v>
      </c>
      <c r="H18" s="160"/>
      <c r="I18" s="160"/>
      <c r="J18" s="160"/>
      <c r="K18" s="160"/>
      <c r="L18" s="162">
        <f t="shared" si="0"/>
        <v>1720</v>
      </c>
      <c r="M18" s="170">
        <f t="shared" si="1"/>
        <v>5.999999999994543E-2</v>
      </c>
    </row>
    <row r="19" spans="1:13" x14ac:dyDescent="0.2">
      <c r="A19" s="174" t="s">
        <v>69</v>
      </c>
      <c r="B19" s="175">
        <v>3447.0000000000005</v>
      </c>
      <c r="C19" s="160">
        <v>6</v>
      </c>
      <c r="D19" s="160">
        <v>2</v>
      </c>
      <c r="E19" s="160"/>
      <c r="F19" s="160"/>
      <c r="G19" s="160">
        <v>2</v>
      </c>
      <c r="H19" s="160"/>
      <c r="I19" s="160">
        <v>1</v>
      </c>
      <c r="J19" s="160"/>
      <c r="K19" s="160">
        <v>2</v>
      </c>
      <c r="L19" s="162">
        <f t="shared" si="0"/>
        <v>3447</v>
      </c>
      <c r="M19" s="170">
        <f t="shared" si="1"/>
        <v>0</v>
      </c>
    </row>
    <row r="20" spans="1:13" x14ac:dyDescent="0.2">
      <c r="A20" s="174"/>
      <c r="B20" s="175"/>
      <c r="C20" s="160"/>
      <c r="D20" s="160"/>
      <c r="E20" s="160"/>
      <c r="F20" s="160"/>
      <c r="G20" s="160"/>
      <c r="H20" s="160"/>
      <c r="I20" s="160"/>
      <c r="J20" s="160"/>
      <c r="K20" s="160"/>
      <c r="L20" s="162"/>
      <c r="M20" s="170"/>
    </row>
    <row r="21" spans="1:13" x14ac:dyDescent="0.2">
      <c r="A21" s="174" t="s">
        <v>43</v>
      </c>
      <c r="B21" s="175">
        <v>1747.8999999999996</v>
      </c>
      <c r="C21" s="160">
        <v>3</v>
      </c>
      <c r="D21" s="160">
        <v>1</v>
      </c>
      <c r="E21" s="160"/>
      <c r="F21" s="160"/>
      <c r="G21" s="160">
        <v>2</v>
      </c>
      <c r="H21" s="160"/>
      <c r="I21" s="160">
        <v>1</v>
      </c>
      <c r="J21" s="160"/>
      <c r="K21" s="160">
        <v>2</v>
      </c>
      <c r="L21" s="162">
        <f t="shared" si="0"/>
        <v>1747</v>
      </c>
      <c r="M21" s="170">
        <f t="shared" si="1"/>
        <v>0.8999999999996362</v>
      </c>
    </row>
    <row r="22" spans="1:13" x14ac:dyDescent="0.2">
      <c r="A22" s="174" t="s">
        <v>48</v>
      </c>
      <c r="B22" s="175">
        <v>1428</v>
      </c>
      <c r="C22" s="160">
        <v>2</v>
      </c>
      <c r="D22" s="160">
        <v>2</v>
      </c>
      <c r="E22" s="160"/>
      <c r="F22" s="160"/>
      <c r="G22" s="160">
        <v>1</v>
      </c>
      <c r="H22" s="160"/>
      <c r="I22" s="160">
        <v>1</v>
      </c>
      <c r="J22" s="160">
        <v>1</v>
      </c>
      <c r="K22" s="160">
        <v>1</v>
      </c>
      <c r="L22" s="162">
        <f t="shared" si="0"/>
        <v>1428</v>
      </c>
      <c r="M22" s="170">
        <f t="shared" si="1"/>
        <v>0</v>
      </c>
    </row>
    <row r="23" spans="1:13" x14ac:dyDescent="0.2">
      <c r="A23" s="174" t="s">
        <v>75</v>
      </c>
      <c r="B23" s="175">
        <v>2257.1428571428573</v>
      </c>
      <c r="C23" s="160">
        <v>4</v>
      </c>
      <c r="D23" s="160">
        <v>1</v>
      </c>
      <c r="E23" s="160"/>
      <c r="F23" s="160">
        <v>1</v>
      </c>
      <c r="G23" s="160"/>
      <c r="H23" s="160"/>
      <c r="I23" s="160">
        <v>1</v>
      </c>
      <c r="J23" s="160"/>
      <c r="K23" s="160">
        <v>2</v>
      </c>
      <c r="L23" s="162">
        <f t="shared" si="0"/>
        <v>2257</v>
      </c>
      <c r="M23" s="170">
        <f t="shared" si="1"/>
        <v>0.14285714285733775</v>
      </c>
    </row>
    <row r="24" spans="1:13" x14ac:dyDescent="0.2">
      <c r="A24" s="174" t="s">
        <v>74</v>
      </c>
      <c r="B24" s="175">
        <v>3089.4</v>
      </c>
      <c r="C24" s="160">
        <v>6</v>
      </c>
      <c r="D24" s="160"/>
      <c r="E24" s="160"/>
      <c r="F24" s="160">
        <v>1</v>
      </c>
      <c r="G24" s="160">
        <v>1</v>
      </c>
      <c r="H24" s="160">
        <v>1</v>
      </c>
      <c r="I24" s="160">
        <v>1</v>
      </c>
      <c r="J24" s="160"/>
      <c r="K24" s="160">
        <v>4</v>
      </c>
      <c r="L24" s="162">
        <f t="shared" si="0"/>
        <v>3089</v>
      </c>
      <c r="M24" s="170">
        <f t="shared" si="1"/>
        <v>0.40000000000009095</v>
      </c>
    </row>
    <row r="25" spans="1:13" x14ac:dyDescent="0.2">
      <c r="A25" s="174" t="s">
        <v>42</v>
      </c>
      <c r="B25" s="175">
        <v>1996.9299999999998</v>
      </c>
      <c r="C25" s="160">
        <v>3</v>
      </c>
      <c r="D25" s="160">
        <v>2</v>
      </c>
      <c r="E25" s="160"/>
      <c r="F25" s="160">
        <v>1</v>
      </c>
      <c r="G25" s="160">
        <v>2</v>
      </c>
      <c r="H25" s="160"/>
      <c r="I25" s="160">
        <v>1</v>
      </c>
      <c r="J25" s="160"/>
      <c r="K25" s="160">
        <v>1</v>
      </c>
      <c r="L25" s="162">
        <f t="shared" si="0"/>
        <v>1996</v>
      </c>
      <c r="M25" s="170">
        <f t="shared" si="1"/>
        <v>0.92999999999983629</v>
      </c>
    </row>
    <row r="26" spans="1:13" x14ac:dyDescent="0.2">
      <c r="A26" s="174" t="s">
        <v>54</v>
      </c>
      <c r="B26" s="175">
        <v>2078.2300000000005</v>
      </c>
      <c r="C26" s="160">
        <v>4</v>
      </c>
      <c r="D26" s="160"/>
      <c r="E26" s="160"/>
      <c r="F26" s="160">
        <v>1</v>
      </c>
      <c r="G26" s="160">
        <v>1</v>
      </c>
      <c r="H26" s="160"/>
      <c r="I26" s="160">
        <v>1</v>
      </c>
      <c r="J26" s="160">
        <v>1</v>
      </c>
      <c r="K26" s="160">
        <v>1</v>
      </c>
      <c r="L26" s="162">
        <f t="shared" si="0"/>
        <v>2078</v>
      </c>
      <c r="M26" s="170">
        <f t="shared" si="1"/>
        <v>0.23000000000047294</v>
      </c>
    </row>
    <row r="27" spans="1:13" x14ac:dyDescent="0.2">
      <c r="A27" s="174" t="s">
        <v>61</v>
      </c>
      <c r="B27" s="175">
        <v>4173.3</v>
      </c>
      <c r="C27" s="160">
        <v>8</v>
      </c>
      <c r="D27" s="160"/>
      <c r="E27" s="160">
        <v>1</v>
      </c>
      <c r="F27" s="160">
        <v>1</v>
      </c>
      <c r="G27" s="160">
        <v>1</v>
      </c>
      <c r="H27" s="160"/>
      <c r="I27" s="160"/>
      <c r="J27" s="160"/>
      <c r="K27" s="160">
        <v>3</v>
      </c>
      <c r="L27" s="162">
        <f t="shared" si="0"/>
        <v>4173</v>
      </c>
      <c r="M27" s="170">
        <f t="shared" si="1"/>
        <v>0.3000000000001819</v>
      </c>
    </row>
    <row r="28" spans="1:13" x14ac:dyDescent="0.2">
      <c r="A28" s="174" t="s">
        <v>62</v>
      </c>
      <c r="B28" s="175">
        <v>6959.1100000000006</v>
      </c>
      <c r="C28" s="160">
        <v>13</v>
      </c>
      <c r="D28" s="160">
        <v>2</v>
      </c>
      <c r="E28" s="160"/>
      <c r="F28" s="160">
        <v>1</v>
      </c>
      <c r="G28" s="160"/>
      <c r="H28" s="160"/>
      <c r="I28" s="160">
        <v>1</v>
      </c>
      <c r="J28" s="160"/>
      <c r="K28" s="160">
        <v>4</v>
      </c>
      <c r="L28" s="162">
        <f t="shared" si="0"/>
        <v>6959</v>
      </c>
      <c r="M28" s="170">
        <f t="shared" si="1"/>
        <v>0.11000000000058208</v>
      </c>
    </row>
    <row r="29" spans="1:13" x14ac:dyDescent="0.2">
      <c r="A29" s="174" t="s">
        <v>63</v>
      </c>
      <c r="B29" s="175">
        <v>6387.6900000000005</v>
      </c>
      <c r="C29" s="160">
        <v>12</v>
      </c>
      <c r="D29" s="160">
        <v>1</v>
      </c>
      <c r="E29" s="160">
        <v>1</v>
      </c>
      <c r="F29" s="160">
        <v>1</v>
      </c>
      <c r="G29" s="160">
        <v>1</v>
      </c>
      <c r="H29" s="160">
        <v>1</v>
      </c>
      <c r="I29" s="160">
        <v>1</v>
      </c>
      <c r="J29" s="160"/>
      <c r="K29" s="160">
        <v>2</v>
      </c>
      <c r="L29" s="162">
        <f t="shared" si="0"/>
        <v>6387</v>
      </c>
      <c r="M29" s="170">
        <f t="shared" si="1"/>
        <v>0.69000000000050932</v>
      </c>
    </row>
    <row r="30" spans="1:13" x14ac:dyDescent="0.2">
      <c r="A30" s="174" t="s">
        <v>64</v>
      </c>
      <c r="B30" s="175">
        <v>6387.6900000000005</v>
      </c>
      <c r="C30" s="160">
        <v>12</v>
      </c>
      <c r="D30" s="160">
        <v>1</v>
      </c>
      <c r="E30" s="160">
        <v>1</v>
      </c>
      <c r="F30" s="160">
        <v>1</v>
      </c>
      <c r="G30" s="160">
        <v>1</v>
      </c>
      <c r="H30" s="160">
        <v>1</v>
      </c>
      <c r="I30" s="160">
        <v>1</v>
      </c>
      <c r="J30" s="160"/>
      <c r="K30" s="160">
        <v>2</v>
      </c>
      <c r="L30" s="162">
        <f t="shared" si="0"/>
        <v>6387</v>
      </c>
      <c r="M30" s="170">
        <f t="shared" si="1"/>
        <v>0.69000000000050932</v>
      </c>
    </row>
    <row r="31" spans="1:13" x14ac:dyDescent="0.2">
      <c r="A31" s="174" t="s">
        <v>50</v>
      </c>
      <c r="B31" s="175">
        <v>1545.73</v>
      </c>
      <c r="C31" s="160">
        <v>3</v>
      </c>
      <c r="D31" s="160"/>
      <c r="E31" s="160"/>
      <c r="F31" s="160"/>
      <c r="G31" s="160">
        <v>2</v>
      </c>
      <c r="H31" s="160"/>
      <c r="I31" s="160">
        <v>1</v>
      </c>
      <c r="J31" s="160"/>
      <c r="K31" s="160"/>
      <c r="L31" s="162">
        <f t="shared" si="0"/>
        <v>1545</v>
      </c>
      <c r="M31" s="170">
        <f t="shared" si="1"/>
        <v>0.73000000000001819</v>
      </c>
    </row>
    <row r="32" spans="1:13" x14ac:dyDescent="0.2">
      <c r="A32" s="174" t="s">
        <v>55</v>
      </c>
      <c r="B32" s="175">
        <v>3613.2</v>
      </c>
      <c r="C32" s="160">
        <v>7</v>
      </c>
      <c r="D32" s="160"/>
      <c r="E32" s="160">
        <v>1</v>
      </c>
      <c r="F32" s="160"/>
      <c r="G32" s="160"/>
      <c r="H32" s="160">
        <v>1</v>
      </c>
      <c r="I32" s="160"/>
      <c r="J32" s="160"/>
      <c r="K32" s="160">
        <v>3</v>
      </c>
      <c r="L32" s="162">
        <f t="shared" si="0"/>
        <v>3613</v>
      </c>
      <c r="M32" s="170">
        <f t="shared" si="1"/>
        <v>0.1999999999998181</v>
      </c>
    </row>
    <row r="33" spans="1:13" x14ac:dyDescent="0.2">
      <c r="A33" s="174" t="s">
        <v>56</v>
      </c>
      <c r="B33" s="175">
        <v>0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2">
        <f t="shared" si="0"/>
        <v>0</v>
      </c>
      <c r="M33" s="170">
        <f t="shared" si="1"/>
        <v>0</v>
      </c>
    </row>
    <row r="34" spans="1:13" x14ac:dyDescent="0.2">
      <c r="A34" s="174" t="s">
        <v>59</v>
      </c>
      <c r="B34" s="175">
        <v>5315.3600000000006</v>
      </c>
      <c r="C34" s="160">
        <v>10</v>
      </c>
      <c r="D34" s="160">
        <v>1</v>
      </c>
      <c r="E34" s="160">
        <v>1</v>
      </c>
      <c r="F34" s="160"/>
      <c r="G34" s="160"/>
      <c r="H34" s="160">
        <v>1</v>
      </c>
      <c r="I34" s="160">
        <v>1</v>
      </c>
      <c r="J34" s="160"/>
      <c r="K34" s="160"/>
      <c r="L34" s="162">
        <f t="shared" si="0"/>
        <v>5315</v>
      </c>
      <c r="M34" s="170">
        <f t="shared" si="1"/>
        <v>0.36000000000058208</v>
      </c>
    </row>
    <row r="35" spans="1:13" x14ac:dyDescent="0.2">
      <c r="A35" s="174" t="s">
        <v>66</v>
      </c>
      <c r="B35" s="175">
        <v>4173.3999999999996</v>
      </c>
      <c r="C35" s="160">
        <v>8</v>
      </c>
      <c r="D35" s="160"/>
      <c r="E35" s="160">
        <v>1</v>
      </c>
      <c r="F35" s="160">
        <v>1</v>
      </c>
      <c r="G35" s="160">
        <v>1</v>
      </c>
      <c r="H35" s="160"/>
      <c r="I35" s="160"/>
      <c r="J35" s="160"/>
      <c r="K35" s="160">
        <v>3</v>
      </c>
      <c r="L35" s="162">
        <f t="shared" si="0"/>
        <v>4173</v>
      </c>
      <c r="M35" s="170">
        <f t="shared" si="1"/>
        <v>0.3999999999996362</v>
      </c>
    </row>
    <row r="36" spans="1:13" x14ac:dyDescent="0.2">
      <c r="A36" s="174" t="s">
        <v>67</v>
      </c>
      <c r="B36" s="175">
        <v>4602.3999999999996</v>
      </c>
      <c r="C36" s="160">
        <v>9</v>
      </c>
      <c r="D36" s="160"/>
      <c r="E36" s="160">
        <v>1</v>
      </c>
      <c r="F36" s="160"/>
      <c r="G36" s="160"/>
      <c r="H36" s="160"/>
      <c r="I36" s="160"/>
      <c r="J36" s="160"/>
      <c r="K36" s="160">
        <v>2</v>
      </c>
      <c r="L36" s="162">
        <f t="shared" si="0"/>
        <v>4602</v>
      </c>
      <c r="M36" s="170">
        <f t="shared" si="1"/>
        <v>0.3999999999996362</v>
      </c>
    </row>
    <row r="37" spans="1:13" x14ac:dyDescent="0.2">
      <c r="A37" s="174" t="s">
        <v>68</v>
      </c>
      <c r="B37" s="175">
        <v>5245.6900000000005</v>
      </c>
      <c r="C37" s="160">
        <v>10</v>
      </c>
      <c r="D37" s="160">
        <v>1</v>
      </c>
      <c r="E37" s="160"/>
      <c r="F37" s="160"/>
      <c r="G37" s="160">
        <v>2</v>
      </c>
      <c r="H37" s="160"/>
      <c r="I37" s="160">
        <v>1</v>
      </c>
      <c r="J37" s="160"/>
      <c r="K37" s="160"/>
      <c r="L37" s="162">
        <f t="shared" si="0"/>
        <v>5245</v>
      </c>
      <c r="M37" s="170">
        <f t="shared" si="1"/>
        <v>0.69000000000050932</v>
      </c>
    </row>
    <row r="38" spans="1:13" x14ac:dyDescent="0.2">
      <c r="A38" s="174" t="s">
        <v>76</v>
      </c>
      <c r="B38" s="175">
        <v>2389.4</v>
      </c>
      <c r="C38" s="160">
        <v>4</v>
      </c>
      <c r="D38" s="160">
        <v>1</v>
      </c>
      <c r="E38" s="160">
        <v>1</v>
      </c>
      <c r="F38" s="160">
        <v>1</v>
      </c>
      <c r="G38" s="160">
        <v>1</v>
      </c>
      <c r="H38" s="160">
        <v>1</v>
      </c>
      <c r="I38" s="160">
        <v>1</v>
      </c>
      <c r="J38" s="160">
        <v>2</v>
      </c>
      <c r="K38" s="160"/>
      <c r="L38" s="162">
        <f t="shared" si="0"/>
        <v>2389</v>
      </c>
      <c r="M38" s="170">
        <f t="shared" si="1"/>
        <v>0.40000000000009095</v>
      </c>
    </row>
    <row r="39" spans="1:13" ht="13.5" thickBot="1" x14ac:dyDescent="0.25">
      <c r="A39" s="176" t="s">
        <v>79</v>
      </c>
      <c r="B39" s="177">
        <v>498.40000000000009</v>
      </c>
      <c r="C39" s="167"/>
      <c r="D39" s="167">
        <v>2</v>
      </c>
      <c r="E39" s="167"/>
      <c r="F39" s="167">
        <v>1</v>
      </c>
      <c r="G39" s="167">
        <v>2</v>
      </c>
      <c r="H39" s="167"/>
      <c r="I39" s="167">
        <v>1</v>
      </c>
      <c r="J39" s="167"/>
      <c r="K39" s="167">
        <v>3</v>
      </c>
      <c r="L39" s="168">
        <f t="shared" si="0"/>
        <v>498</v>
      </c>
      <c r="M39" s="171">
        <f t="shared" si="1"/>
        <v>0.40000000000009095</v>
      </c>
    </row>
    <row r="40" spans="1:13" ht="13.5" thickTop="1" x14ac:dyDescent="0.2">
      <c r="A40" s="163" t="s">
        <v>36</v>
      </c>
      <c r="B40" s="164">
        <f>SUM(B2:B39)</f>
        <v>105601.73857142856</v>
      </c>
      <c r="C40" s="165"/>
      <c r="D40" s="165"/>
      <c r="E40" s="165"/>
      <c r="F40" s="165"/>
      <c r="G40" s="165"/>
      <c r="H40" s="165"/>
      <c r="I40" s="165"/>
      <c r="J40" s="165"/>
      <c r="K40" s="165"/>
      <c r="L40" s="166">
        <f t="shared" si="0"/>
        <v>0</v>
      </c>
      <c r="M40" s="170">
        <f t="shared" si="1"/>
        <v>105601.73857142856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A3BB4-40E4-40ED-A509-7C912466C282}">
  <dimension ref="J8:L15"/>
  <sheetViews>
    <sheetView topLeftCell="B1" workbookViewId="0">
      <selection activeCell="I7" sqref="I7:N17"/>
    </sheetView>
  </sheetViews>
  <sheetFormatPr baseColWidth="10" defaultRowHeight="12.75" x14ac:dyDescent="0.2"/>
  <cols>
    <col min="11" max="11" width="12.7109375" style="47" bestFit="1" customWidth="1"/>
  </cols>
  <sheetData>
    <row r="8" spans="10:12" x14ac:dyDescent="0.2">
      <c r="J8" s="55"/>
    </row>
    <row r="9" spans="10:12" x14ac:dyDescent="0.2">
      <c r="J9" s="56"/>
      <c r="K9" s="135"/>
    </row>
    <row r="10" spans="10:12" x14ac:dyDescent="0.2">
      <c r="J10" s="56"/>
      <c r="K10" s="135"/>
    </row>
    <row r="11" spans="10:12" x14ac:dyDescent="0.2">
      <c r="J11" s="56"/>
      <c r="K11" s="135"/>
      <c r="L11" s="55"/>
    </row>
    <row r="12" spans="10:12" x14ac:dyDescent="0.2">
      <c r="J12" s="56"/>
      <c r="K12" s="135"/>
      <c r="L12" s="55"/>
    </row>
    <row r="13" spans="10:12" x14ac:dyDescent="0.2">
      <c r="J13" s="56"/>
      <c r="K13" s="135"/>
      <c r="L13" s="55"/>
    </row>
    <row r="14" spans="10:12" x14ac:dyDescent="0.2">
      <c r="J14" s="136"/>
      <c r="K14" s="135"/>
      <c r="L14" s="55"/>
    </row>
    <row r="15" spans="10:12" hidden="1" x14ac:dyDescent="0.2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67655-D18B-4EE0-8072-8CD08FB91AEB}">
  <dimension ref="A1:N33"/>
  <sheetViews>
    <sheetView workbookViewId="0">
      <selection activeCell="N32" sqref="N32"/>
    </sheetView>
  </sheetViews>
  <sheetFormatPr baseColWidth="10" defaultRowHeight="12.75" x14ac:dyDescent="0.2"/>
  <cols>
    <col min="2" max="2" width="18.140625" customWidth="1"/>
    <col min="5" max="5" width="4.5703125" style="39" customWidth="1"/>
    <col min="13" max="13" width="13.7109375" style="47" bestFit="1" customWidth="1"/>
  </cols>
  <sheetData>
    <row r="1" spans="1:7" x14ac:dyDescent="0.2">
      <c r="A1" s="41"/>
      <c r="B1" s="41"/>
      <c r="C1" s="41"/>
      <c r="D1" s="41"/>
      <c r="E1" s="40"/>
      <c r="F1" s="41"/>
      <c r="G1" s="41"/>
    </row>
    <row r="2" spans="1:7" x14ac:dyDescent="0.2">
      <c r="A2" s="41"/>
      <c r="B2" s="41"/>
      <c r="C2" s="57"/>
      <c r="D2" s="57"/>
      <c r="E2" s="40"/>
      <c r="F2" s="41"/>
      <c r="G2" s="41"/>
    </row>
    <row r="3" spans="1:7" x14ac:dyDescent="0.2">
      <c r="A3" s="41"/>
      <c r="B3" s="41"/>
      <c r="C3" s="57"/>
      <c r="D3" s="57"/>
      <c r="E3" s="40"/>
      <c r="F3" s="41"/>
      <c r="G3" s="41"/>
    </row>
    <row r="4" spans="1:7" x14ac:dyDescent="0.2">
      <c r="A4" s="41"/>
      <c r="B4" s="41"/>
      <c r="C4" s="57"/>
      <c r="D4" s="57"/>
      <c r="E4" s="40"/>
      <c r="F4" s="41"/>
      <c r="G4" s="41"/>
    </row>
    <row r="5" spans="1:7" x14ac:dyDescent="0.2">
      <c r="A5" s="41"/>
      <c r="B5" s="41"/>
      <c r="C5" s="57"/>
      <c r="D5" s="57"/>
      <c r="E5" s="40"/>
      <c r="F5" s="41"/>
      <c r="G5" s="41"/>
    </row>
    <row r="6" spans="1:7" x14ac:dyDescent="0.2">
      <c r="A6" s="41"/>
      <c r="B6" s="41"/>
      <c r="C6" s="57"/>
      <c r="D6" s="57"/>
      <c r="E6" s="40"/>
      <c r="F6" s="41"/>
      <c r="G6" s="41"/>
    </row>
    <row r="7" spans="1:7" x14ac:dyDescent="0.2">
      <c r="A7" s="41"/>
      <c r="B7" s="41"/>
      <c r="C7" s="57"/>
      <c r="D7" s="57"/>
      <c r="E7" s="40"/>
      <c r="F7" s="41"/>
      <c r="G7" s="41"/>
    </row>
    <row r="8" spans="1:7" x14ac:dyDescent="0.2">
      <c r="A8" s="41"/>
      <c r="B8" s="41"/>
      <c r="C8" s="57"/>
      <c r="D8" s="57"/>
      <c r="E8" s="40"/>
      <c r="F8" s="41"/>
      <c r="G8" s="41"/>
    </row>
    <row r="9" spans="1:7" x14ac:dyDescent="0.2">
      <c r="A9" s="41"/>
      <c r="B9" s="41"/>
      <c r="C9" s="57"/>
      <c r="D9" s="57"/>
      <c r="E9" s="40"/>
      <c r="F9" s="41"/>
      <c r="G9" s="41"/>
    </row>
    <row r="10" spans="1:7" x14ac:dyDescent="0.2">
      <c r="A10" s="41"/>
      <c r="B10" s="41"/>
      <c r="C10" s="57"/>
      <c r="D10" s="57"/>
      <c r="E10" s="40"/>
      <c r="F10" s="41"/>
      <c r="G10" s="41"/>
    </row>
    <row r="11" spans="1:7" x14ac:dyDescent="0.2">
      <c r="A11" s="41"/>
      <c r="B11" s="41"/>
      <c r="C11" s="57"/>
      <c r="D11" s="57"/>
      <c r="E11" s="40"/>
      <c r="F11" s="41"/>
      <c r="G11" s="41"/>
    </row>
    <row r="12" spans="1:7" x14ac:dyDescent="0.2">
      <c r="A12" s="41"/>
      <c r="B12" s="41"/>
      <c r="C12" s="41"/>
      <c r="D12" s="57"/>
      <c r="E12" s="40"/>
      <c r="F12" s="41"/>
      <c r="G12" s="41"/>
    </row>
    <row r="13" spans="1:7" x14ac:dyDescent="0.2">
      <c r="A13" s="41"/>
      <c r="B13" s="41"/>
      <c r="C13" s="41"/>
      <c r="D13" s="41"/>
      <c r="E13" s="40"/>
      <c r="F13" s="41"/>
      <c r="G13" s="41"/>
    </row>
    <row r="14" spans="1:7" x14ac:dyDescent="0.2">
      <c r="A14" s="41"/>
      <c r="B14" s="41"/>
      <c r="C14" s="57"/>
      <c r="D14" s="57"/>
      <c r="E14" s="40"/>
      <c r="F14" s="41"/>
      <c r="G14" s="41"/>
    </row>
    <row r="15" spans="1:7" x14ac:dyDescent="0.2">
      <c r="A15" s="41"/>
      <c r="B15" s="41"/>
      <c r="C15" s="57"/>
      <c r="D15" s="57"/>
      <c r="E15" s="40"/>
      <c r="F15" s="41"/>
      <c r="G15" s="41"/>
    </row>
    <row r="16" spans="1:7" x14ac:dyDescent="0.2">
      <c r="A16" s="41"/>
      <c r="B16" s="41"/>
      <c r="C16" s="57"/>
      <c r="D16" s="57"/>
      <c r="E16" s="40"/>
      <c r="F16" s="41"/>
      <c r="G16" s="41"/>
    </row>
    <row r="17" spans="1:14" x14ac:dyDescent="0.2">
      <c r="A17" s="41"/>
      <c r="B17" s="41"/>
      <c r="C17" s="57"/>
      <c r="D17" s="57"/>
      <c r="E17" s="40"/>
      <c r="F17" s="41"/>
      <c r="G17" s="41"/>
    </row>
    <row r="18" spans="1:14" x14ac:dyDescent="0.2">
      <c r="A18" s="41"/>
      <c r="B18" s="41"/>
      <c r="C18" s="41"/>
      <c r="D18" s="57"/>
      <c r="E18" s="40"/>
      <c r="F18" s="41"/>
      <c r="G18" s="41"/>
    </row>
    <row r="19" spans="1:14" x14ac:dyDescent="0.2">
      <c r="A19" s="41"/>
      <c r="B19" s="41"/>
      <c r="C19" s="41"/>
      <c r="D19" s="41"/>
      <c r="E19" s="40"/>
      <c r="F19" s="41"/>
      <c r="G19" s="41"/>
    </row>
    <row r="20" spans="1:14" x14ac:dyDescent="0.2">
      <c r="A20" s="41"/>
      <c r="B20" s="41"/>
      <c r="C20" s="57"/>
      <c r="D20" s="57"/>
      <c r="E20" s="40"/>
      <c r="F20" s="41"/>
      <c r="G20" s="41"/>
    </row>
    <row r="21" spans="1:14" x14ac:dyDescent="0.2">
      <c r="A21" s="41"/>
      <c r="B21" s="41"/>
      <c r="C21" s="57"/>
      <c r="D21" s="57"/>
      <c r="E21" s="40"/>
      <c r="F21" s="41"/>
      <c r="G21" s="41"/>
    </row>
    <row r="22" spans="1:14" x14ac:dyDescent="0.2">
      <c r="A22" s="41"/>
      <c r="B22" s="41"/>
      <c r="C22" s="57"/>
      <c r="D22" s="57"/>
      <c r="E22" s="40"/>
      <c r="F22" s="41"/>
      <c r="G22" s="41"/>
    </row>
    <row r="23" spans="1:14" x14ac:dyDescent="0.2">
      <c r="A23" s="41"/>
      <c r="B23" s="41"/>
      <c r="C23" s="57"/>
      <c r="D23" s="57"/>
      <c r="E23" s="40"/>
      <c r="F23" s="41"/>
      <c r="G23" s="41"/>
    </row>
    <row r="24" spans="1:14" x14ac:dyDescent="0.2">
      <c r="A24" s="41"/>
      <c r="B24" s="41"/>
      <c r="C24" s="41"/>
      <c r="D24" s="57"/>
      <c r="E24" s="40"/>
      <c r="F24" s="41"/>
      <c r="G24" s="41"/>
    </row>
    <row r="31" spans="1:14" x14ac:dyDescent="0.2">
      <c r="M31" s="48"/>
      <c r="N31" s="49"/>
    </row>
    <row r="32" spans="1:14" x14ac:dyDescent="0.2">
      <c r="M32" s="48"/>
      <c r="N32" s="58"/>
    </row>
    <row r="33" spans="13:14" x14ac:dyDescent="0.2">
      <c r="M33" s="48"/>
      <c r="N33" s="4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</vt:lpstr>
      <vt:lpstr>Hoja3</vt:lpstr>
      <vt:lpstr>Hoja1</vt:lpstr>
      <vt:lpstr>Hoja2</vt:lpstr>
    </vt:vector>
  </TitlesOfParts>
  <Company>Me&amp;Ta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Administracion</cp:lastModifiedBy>
  <cp:lastPrinted>2025-09-12T16:20:22Z</cp:lastPrinted>
  <dcterms:created xsi:type="dcterms:W3CDTF">1996-11-27T10:00:04Z</dcterms:created>
  <dcterms:modified xsi:type="dcterms:W3CDTF">2025-09-12T22:36:55Z</dcterms:modified>
</cp:coreProperties>
</file>